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 Sintético" sheetId="1" state="visible" r:id="rId2"/>
    <sheet name="Composições" sheetId="2" state="visible" r:id="rId3"/>
    <sheet name="BDI" sheetId="3" state="visible" r:id="rId4"/>
    <sheet name="Encargos Sociais" sheetId="4" state="visible" r:id="rId5"/>
    <sheet name="Mapa Cotações" sheetId="5" state="visible" r:id="rId6"/>
  </sheets>
  <definedNames>
    <definedName function="false" hidden="false" localSheetId="2" name="_xlnm.Print_Area" vbProcedure="false">BDI!$A$1:$E$37</definedName>
    <definedName function="false" hidden="false" localSheetId="1" name="_xlnm.Print_Area" vbProcedure="false">Composições!$A$1:$H$117</definedName>
    <definedName function="false" hidden="false" localSheetId="3" name="_xlnm.Print_Area" vbProcedure="false">'Encargos Sociais'!$A$1:$G$60</definedName>
    <definedName function="false" hidden="false" localSheetId="4" name="_xlnm.Print_Area" vbProcedure="false">'Mapa Cotações'!$A:$D</definedName>
    <definedName function="false" hidden="false" localSheetId="0" name="_xlnm.Print_Area" vbProcedure="false">'Orçamento Sintético'!$A$1:$H$22</definedName>
    <definedName function="false" hidden="false" name="BDI_MAT" vbProcedure="false">BDI!$D$22</definedName>
    <definedName function="false" hidden="false" name="BDI_MO" vbProcedure="false">BDI!$C$22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<sst xmlns="http://schemas.openxmlformats.org/spreadsheetml/2006/main" count="483" uniqueCount="165">
  <si>
    <t xml:space="preserve">PLANILHA DE FORMAÇÃO DE PREÇOS DE REFERÊNCIA</t>
  </si>
  <si>
    <t xml:space="preserve">MANUTENÇÃO DE AR CONDICIONADO - RIO VERDE</t>
  </si>
  <si>
    <t xml:space="preserve">SINAPI 06/22</t>
  </si>
  <si>
    <t xml:space="preserve">Código</t>
  </si>
  <si>
    <t xml:space="preserve">Descrição</t>
  </si>
  <si>
    <t xml:space="preserve">Unidade</t>
  </si>
  <si>
    <t xml:space="preserve">Quantidades</t>
  </si>
  <si>
    <t xml:space="preserve">Unitário
Materiais</t>
  </si>
  <si>
    <t xml:space="preserve">Unitário
Mão de obra</t>
  </si>
  <si>
    <t xml:space="preserve">Total
Unitário com Bdi</t>
  </si>
  <si>
    <t xml:space="preserve">Subtotais com BDI</t>
  </si>
  <si>
    <t xml:space="preserve">01.00</t>
  </si>
  <si>
    <t xml:space="preserve">Contratação de serviços de manutenção preventia e corretiva em aparelhos de ar condicionado</t>
  </si>
  <si>
    <t xml:space="preserve">MAN.AC.01</t>
  </si>
  <si>
    <t xml:space="preserve">MAN.AC.02</t>
  </si>
  <si>
    <t xml:space="preserve">MAN.AC.03</t>
  </si>
  <si>
    <t xml:space="preserve">MAN.AC.04</t>
  </si>
  <si>
    <t xml:space="preserve">AC.INST</t>
  </si>
  <si>
    <t xml:space="preserve">AC.RETIR</t>
  </si>
  <si>
    <t xml:space="preserve">TOTAL ESTIMADO DA CONTRATAÇÃO</t>
  </si>
  <si>
    <t xml:space="preserve">Bimensal =</t>
  </si>
  <si>
    <t xml:space="preserve">Notas/Observações</t>
  </si>
  <si>
    <t xml:space="preserve">1 - Coeficientes de consumo estimados com base em contratações anteriores e nas características dos serviços.</t>
  </si>
  <si>
    <r>
      <rPr>
        <sz val="11"/>
        <color rgb="FF000000"/>
        <rFont val="Calibri"/>
        <family val="2"/>
        <charset val="1"/>
      </rPr>
      <t xml:space="preserve">2 - Tabela de referência dos custos: </t>
    </r>
    <r>
      <rPr>
        <b val="true"/>
        <sz val="11"/>
        <color rgb="FF000000"/>
        <rFont val="Calibri"/>
        <family val="2"/>
        <charset val="1"/>
      </rPr>
      <t xml:space="preserve">SINAPI GOIÂNIA 06/2022 - DESONERADO</t>
    </r>
  </si>
  <si>
    <t xml:space="preserve">3 - Encargos sociais: 85,92%(HORA)   49,08%(MÊS)</t>
  </si>
  <si>
    <t xml:space="preserve">RELATÓRIO ANALÍTICO DE COMPOSIÇÕES DE PREÇO UNITÁRIAS</t>
  </si>
  <si>
    <t xml:space="preserve">Tipo</t>
  </si>
  <si>
    <t xml:space="preserve">Qtd/Coef</t>
  </si>
  <si>
    <t xml:space="preserve">Preço
Unitário</t>
  </si>
  <si>
    <t xml:space="preserve">Subtotal
Material</t>
  </si>
  <si>
    <t xml:space="preserve">Subtotal
Mão de Obra</t>
  </si>
  <si>
    <t xml:space="preserve">Manutenção preventiva (bimestral) e corretiva , a qualquer tempo, sob demanda, de ar condicionado Split de 9000 a 12000 btu
(Quantidade de equipamentos: 6 )</t>
  </si>
  <si>
    <t xml:space="preserve">Serv.</t>
  </si>
  <si>
    <t xml:space="preserve">un*mês</t>
  </si>
  <si>
    <t xml:space="preserve">AJUDANTE ESPECIALIZADO</t>
  </si>
  <si>
    <t xml:space="preserve">M.o</t>
  </si>
  <si>
    <t xml:space="preserve">H</t>
  </si>
  <si>
    <t xml:space="preserve">ELETRICISTA (HORISTA)</t>
  </si>
  <si>
    <t xml:space="preserve">MECANICO DE REFRIGERACAO (HORISTA)</t>
  </si>
  <si>
    <t xml:space="preserve">ALIMENTACAO - HORISTA (COLETADO CAIXA)</t>
  </si>
  <si>
    <t xml:space="preserve">Mat.</t>
  </si>
  <si>
    <t xml:space="preserve">TRANSPORTE - HORISTA (COLETADO CAIXA)</t>
  </si>
  <si>
    <t xml:space="preserve">EXAMES - HORISTA (COLETADO CAIXA)</t>
  </si>
  <si>
    <t xml:space="preserve">SEGURO - HORISTA (COLETADO CAIXA)</t>
  </si>
  <si>
    <t xml:space="preserve">FERRAMENTAS - FAMILIA ELETRICISTA - HORISTA (ENCARGOS COMPLEMENTARES - COLETADO CAIXA)</t>
  </si>
  <si>
    <t xml:space="preserve">FERRAMENTAS - FAMILIA ENCANADOR - HORISTA (ENCARGOS COMPLEMENTARES - COLETADO CAIXA)</t>
  </si>
  <si>
    <t xml:space="preserve">EPI - FAMILIA ELETRICISTA - HORISTA (ENCARGOS COMPLEMENTARES - COLETADO CAIXA)</t>
  </si>
  <si>
    <t xml:space="preserve">EPI - FAMILIA ENCANADOR - HORISTA (ENCARGOS COMPLEMENTARES - COLETADO CAIXA)</t>
  </si>
  <si>
    <t xml:space="preserve">LAVADORA DE ALTA PRESSAO (LAVA - JATO) PARA AGUA FRIA, PRESSAO DE OPERACAO ENTRE 1400 E 1900 LIB/POL2, VAZAO MAXIMA ENTRE  400 E 700 L/H, POTENCIA DE OPERACAO ENTRE 2,50 E 3,00 CV</t>
  </si>
  <si>
    <t xml:space="preserve">un</t>
  </si>
  <si>
    <t xml:space="preserve">AC.BAC</t>
  </si>
  <si>
    <t xml:space="preserve">Bactericida desinfetante higienizador c/ borrifador ar condicionado 1 litro</t>
  </si>
  <si>
    <t xml:space="preserve">AC.GAS</t>
  </si>
  <si>
    <t xml:space="preserve">Gás Refrigerante R410a EOS (Cilindro de 11,34Kg)</t>
  </si>
  <si>
    <t xml:space="preserve">kg</t>
  </si>
  <si>
    <t xml:space="preserve">AC.KITMAN</t>
  </si>
  <si>
    <t xml:space="preserve">Kit de Manifold Profissional com Mangueira de 1,2m para R22/R134A/407com410A e Maleta</t>
  </si>
  <si>
    <t xml:space="preserve">Manutenção preventiva (bimestral) e corretiva , a qualquer tempo, sob demanda,  de ar condicionado Split de 18000 a 24000 btu
(Quantidade de equipamentos: 30)</t>
  </si>
  <si>
    <t xml:space="preserve">Manutenção preventiva (bimestral) e corretiva , a qualquer tempo, sob demanda,  de ar condicionado Split de 30000 a 36000 btu</t>
  </si>
  <si>
    <t xml:space="preserve">Manutenção preventiva (bimestral) e corretiva , a qualquer tempo, sob demanda,  de ar condicionado Split de 48000 a 60000 btu</t>
  </si>
  <si>
    <t xml:space="preserve">Serviço de Instalação Completa de Aparelho de Ar Condicionado Split qualquer tipo (hiwall,piso-teto,cassete), potência até 60.000 BTU, com execução de linha frigorígena isolada termicamente, adequadamente embutida em alvenarias ou sobre forros, rede de dreno em tubulação PVC embutida e alimentação elétrica com eletroduto, proteção e circuito exclusivos até o quadro de alimentação, inclui unidades condensadora (externa) e evaporadora (interna). Com recomposição completa. Aparelho a ser fornecido pelo Contratante.</t>
  </si>
  <si>
    <t xml:space="preserve">AUXILIAR DE ENCANADOR OU BOMBEIRO HIDRAULICO (HORISTA)</t>
  </si>
  <si>
    <t xml:space="preserve">AJUDANTE DE ELETRICISTA (HORISTA)</t>
  </si>
  <si>
    <t xml:space="preserve">PEDREIRO (HORISTA)</t>
  </si>
  <si>
    <t xml:space="preserve">AUXILIAR DE PEDREIRO (HORISTA)</t>
  </si>
  <si>
    <t xml:space="preserve">CABO DE COBRE, FLEXIVEL, CLASSE 4 OU 5, ISOLACAO EM PVC/A, ANTICHAMA BWF-B, COBERTURA PVC-ST1, ANTICHAMA BWF-B, 1 CONDUTOR, 0,6/1 KV, SECAO NOMINAL 2,5 MM2</t>
  </si>
  <si>
    <t xml:space="preserve">M</t>
  </si>
  <si>
    <t xml:space="preserve">PARAFUSO ZINCADO, SEXTAVADO, COM ROSCA INTEIRA, DIAMETRO 1/4", COMPRIMENTO 1/2"</t>
  </si>
  <si>
    <t xml:space="preserve">UN</t>
  </si>
  <si>
    <t xml:space="preserve">FITA CREPE ROLO DE 25 MM X 50 M</t>
  </si>
  <si>
    <t xml:space="preserve">ARGAMASSA INDUSTRIALIZADA MULTIUSO, PARA REVESTIMENTO INTERNO E EXTERNO E ASSENTAMENTO DE BLOCOS DIVERSOS</t>
  </si>
  <si>
    <t xml:space="preserve">KG</t>
  </si>
  <si>
    <t xml:space="preserve">BANDEJA DE PINTURA PARA ROLO 23 CM</t>
  </si>
  <si>
    <t xml:space="preserve">ROLO DE ESPUMA POLIESTER 23 CM (SEM CABO)</t>
  </si>
  <si>
    <t xml:space="preserve">ESCADA EXTENSIVEL EM ALUMINIO COM 6,00 M ESTENDIDA</t>
  </si>
  <si>
    <t xml:space="preserve">LUVA DE CORRER PARA TUBO SOLDAVEL, PVC, 20 MM, PARA AGUA FRIA PREDIAL</t>
  </si>
  <si>
    <t xml:space="preserve">CABO MULTIPOLAR DE COBRE, FLEXIVEL, CLASSE 4 OU 5, ISOLACAO EM HEPR, COBERTURA EM PVC-ST2, ANTICHAMA BWF-B, 0,6/1 KV, 3 CONDUTORES DE 2,5 MM2</t>
  </si>
  <si>
    <t xml:space="preserve">TUBO DE COBRE FLEXIVEL, D = 1/4 ", E = 0,79 MM, PARA AR-CONDICIONADO/ INSTALACOES GAS RESIDENCIAIS E COMERCIAIS</t>
  </si>
  <si>
    <t xml:space="preserve">TUBO DE COBRE FLEXIVEL, D = 3/8 ", E = 0,79 MM, PARA AR-CONDICIONADO/ INSTALACOES GAS RESIDENCIAIS E COMERCIAIS</t>
  </si>
  <si>
    <t xml:space="preserve">TUBO DE COBRE FLEXIVEL, D = 5/8 ", E = 0,79 MM, PARA AR-CONDICIONADO/ INSTALACOES GAS RESIDENCIAIS E COMERCIAIS</t>
  </si>
  <si>
    <t xml:space="preserve">TUBO DE ESPUMA DE POLIETILENO EXPANDIDO FLEXIVEL PARA ISOLAMENTO TERMICO DE TUBULACAO DE AR CONDICIONADO, AGUA QUENTE,  DN 1 1/2", E= 10 MM</t>
  </si>
  <si>
    <t xml:space="preserve">PARAFUSO ZINCADO, SEXTAVADO, COM ROSCA INTEIRA, DIAMETRO 3/8", COMPRIMENTO 2"</t>
  </si>
  <si>
    <t xml:space="preserve">FERRAMENTAS - FAMILIA PEDREIRO - HORISTA (ENCARGOS COMPLEMENTARES - COLETADO CAIXA)</t>
  </si>
  <si>
    <t xml:space="preserve">EPI - FAMILIA PEDREIRO - HORISTA (ENCARGOS COMPLEMENTARES - COLETADO CAIXA)</t>
  </si>
  <si>
    <t xml:space="preserve">TINTA LATEX ACRILICA SUPER PREMIUM, COR BRANCO FOSCO</t>
  </si>
  <si>
    <t xml:space="preserve">L</t>
  </si>
  <si>
    <t xml:space="preserve">MASSA CORRIDA PARA SUPERFICIES DE AMBIENTES INTERNOS</t>
  </si>
  <si>
    <t xml:space="preserve">BUCHA DE NYLON SEM ABA S10</t>
  </si>
  <si>
    <t xml:space="preserve">TUBO PVC, SOLDAVEL, DN 20 MM, AGUA FRIA (NBR-5648)</t>
  </si>
  <si>
    <t xml:space="preserve">AC.SUPORTE</t>
  </si>
  <si>
    <t xml:space="preserve">Suporte padrão para unidade externa de ar condicionado, com pintura eletrostática branca</t>
  </si>
  <si>
    <t xml:space="preserve">Consumos estipulados com base na média de consumo de materiais principais (curva ABC) e nas bitolas mais empregadas. Não será objeto de discussão a falta de insumos complementares ou específicos de cada serviço, tendo em vista que o valor médio foi verificado compatível com o mercado por ocasião da parametrização da composição de custo.</t>
  </si>
  <si>
    <t xml:space="preserve">Serviço de Retirada completa de ar condicionado split, qualquer tipo (hiwall,piso-teto,cassete)/modelo/potencia até 60.000 BTU (composto por unidades condensadora e evaporadora), com salvamento e entrega ao Contratante</t>
  </si>
  <si>
    <t xml:space="preserve">Detalhamento de Taxa de BDI Presumido - Serviços comuns com desoneração</t>
  </si>
  <si>
    <t xml:space="preserve">ISS do municipio 5%</t>
  </si>
  <si>
    <t xml:space="preserve">ACÓRDÃO 2.622/2013 TCU</t>
  </si>
  <si>
    <t xml:space="preserve">DISCRIMINAÇÃO</t>
  </si>
  <si>
    <t xml:space="preserve">MAO DE OBRA</t>
  </si>
  <si>
    <t xml:space="preserve">MATERIAIS</t>
  </si>
  <si>
    <t xml:space="preserve">1º QUARTIL</t>
  </si>
  <si>
    <t xml:space="preserve">MÉDIA</t>
  </si>
  <si>
    <t xml:space="preserve">3º QUARTIL</t>
  </si>
  <si>
    <t xml:space="preserve">ADMINISTRAÇÃO CENTRAL (AC)</t>
  </si>
  <si>
    <t xml:space="preserve">AC</t>
  </si>
  <si>
    <t xml:space="preserve">S+R+G</t>
  </si>
  <si>
    <t xml:space="preserve">SEGURO (S)</t>
  </si>
  <si>
    <t xml:space="preserve">GARANTIAS (G)</t>
  </si>
  <si>
    <t xml:space="preserve">S+G</t>
  </si>
  <si>
    <t xml:space="preserve">RISCOS (R)</t>
  </si>
  <si>
    <t xml:space="preserve">R</t>
  </si>
  <si>
    <t xml:space="preserve">ref. ao 1º fator</t>
  </si>
  <si>
    <t xml:space="preserve">DESPESAS FINANCEIRAS (DF)</t>
  </si>
  <si>
    <t xml:space="preserve">ref. ao 2º fator</t>
  </si>
  <si>
    <t xml:space="preserve">DF</t>
  </si>
  <si>
    <t xml:space="preserve">REMUNERAÇÃO BRUTA DO CONSTRUTOR (L)</t>
  </si>
  <si>
    <t xml:space="preserve">ref. ao 3º fator</t>
  </si>
  <si>
    <t xml:space="preserve">(1+AC+S+R+G) x (1+DF) x (1+L)</t>
  </si>
  <si>
    <t xml:space="preserve">PIS</t>
  </si>
  <si>
    <t xml:space="preserve">COFINS</t>
  </si>
  <si>
    <t xml:space="preserve">(CÓDIGO TRIBUTÁRIO DO MUNICÍPIO) ISSQN</t>
  </si>
  <si>
    <t xml:space="preserve">(depende da legislação tributária municipal)</t>
  </si>
  <si>
    <t xml:space="preserve">(CONTRIB. PREV. SOBRE RECEITA BRUTA) CPRB</t>
  </si>
  <si>
    <t xml:space="preserve">( 1 – I )</t>
  </si>
  <si>
    <t xml:space="preserve">BDI</t>
  </si>
  <si>
    <t xml:space="preserve">FÓRMULA EMPREGADA</t>
  </si>
  <si>
    <t xml:space="preserve">ESSES VALORES não INCLUIRAM O IPRB, CONFORME OBSERVA O próprio ACORDAO</t>
  </si>
  <si>
    <t xml:space="preserve">Fonte: 
BRASIL. Tribunal de Contas da União. Orientações para elaboração de planilhas orçamentárias de Obras Públicas. Brasília: TCU, 2014.(p.86)</t>
  </si>
  <si>
    <t xml:space="preserve">COMPOSIÇÃO DOS ENCARGOS SOCIAIS</t>
  </si>
  <si>
    <t xml:space="preserve">FONTE: CAIXA ECONOMICA FEDERAL</t>
  </si>
  <si>
    <t xml:space="preserve">Mapa de cotações - Serviços de Engenharia e Manutenção</t>
  </si>
  <si>
    <t xml:space="preserve">Contratação</t>
  </si>
  <si>
    <t xml:space="preserve">Data de ref.</t>
  </si>
  <si>
    <t xml:space="preserve">Custo adotado</t>
  </si>
  <si>
    <t xml:space="preserve">litro</t>
  </si>
  <si>
    <t xml:space="preserve">Loja</t>
  </si>
  <si>
    <t xml:space="preserve">Endereço/Telefone/Link</t>
  </si>
  <si>
    <t xml:space="preserve">Valor</t>
  </si>
  <si>
    <t xml:space="preserve">Média/Mediana</t>
  </si>
  <si>
    <t xml:space="preserve">ClimaNorte</t>
  </si>
  <si>
    <t xml:space="preserve">https://www.climanorte.com.br/pecas/pecas-ar-condicionado/bactericida-1lt-c-borrifador-talco?parceiro=5572</t>
  </si>
  <si>
    <t xml:space="preserve">GelaTudo</t>
  </si>
  <si>
    <t xml:space="preserve">https://www.gelatudo.com.br/268?gclid=Cj0KCQjw0oyYBhDGARIsAMZEuMsnu3EsFp3tzdIUlhKheY4es--TSl_ShCgNBce51QBfFeoWQ4dzFOwaAl65EALw_wcB</t>
  </si>
  <si>
    <t xml:space="preserve">Refritron</t>
  </si>
  <si>
    <t xml:space="preserve">https://www.refritron.com.br/material-para-instalacao-e-manutencao-de-ar/produtos-de-limpeza-e-higienizacao/bactericida-desinfetante-higienizador-c-borrifador-ar-condicionado-1-litro-talco-refritron</t>
  </si>
  <si>
    <t xml:space="preserve">Frigelar</t>
  </si>
  <si>
    <t xml:space="preserve">https://www.frigelar.com.br/gas-refrigerante-r410a-eos-cilindro-de-1134kg/p/kit5357?gclid=Cj0KCQjw9ZGYBhCEARIsAEUXITWbmrla6nttiTd_KJQ1pG2vMRfiaQPjzM9xoLw20lXWxmeetJfa0qoaAj9vEALw_wcB</t>
  </si>
  <si>
    <t xml:space="preserve">Dufrio</t>
  </si>
  <si>
    <t xml:space="preserve">https://www.dufrio.com.br/fluido-refrigerante-dugold-r410-113kg-onu-3163.html?utm_source=google&amp;utm_medium=shopping&amp;apwc=Y2FuYWxJbnRlZ3JhY2FvPTQ0N3xwcm9kdXRvPTg2NTc=&amp;gclid=Cj0KCQjw9ZGYBhCEARIsAEUXITV6_SKux7s_Jp8ZLdwN-zGtGjuYSDp4fCn25s5RNTEW16UqFcM8a2EaAg1SEALw_wcB</t>
  </si>
  <si>
    <t xml:space="preserve">Eletrofrigor</t>
  </si>
  <si>
    <t xml:space="preserve">https://www.eletrofrigor.com.br/gas-r410a-eos-dac-11-34-kg.html?gclid=Cj0KCQjw9ZGYBhCEARIsAEUXITWMOxHJqtgqCApj09t1ZWc2oqXA_pLMPpzyCikWtWal6GIsVGgvYdQaAmHFEALw_wcB</t>
  </si>
  <si>
    <t xml:space="preserve">Samatec</t>
  </si>
  <si>
    <t xml:space="preserve">https://www.samatec.com.br/manifold-r410-22-404-mangueira-150-mastercool--36661-e/p</t>
  </si>
  <si>
    <t xml:space="preserve">https://www.frigelar.com.br/kit-de-manifold-profissional-eos-com-mangueira-de-12m-para-r22r134a407com410a-e-maleta/p/kit1473</t>
  </si>
  <si>
    <t xml:space="preserve">Lojadomecanico</t>
  </si>
  <si>
    <t xml:space="preserve">https://www.lojadomecanico.com.br/produto/106729/11/157/kit-manifold-completo-com-3-mangueiras-dm-ferramentas-dm-030</t>
  </si>
  <si>
    <t xml:space="preserve">Madeiramadeira.Com</t>
  </si>
  <si>
    <t xml:space="preserve">https://www.madeiramadeira.com.br/kit-manifold-manometros-analogicos-gallant-r410a-r22-r134a-r404a-1821345.html?index=vr-prod-poc-madeira-best-seller-desc</t>
  </si>
  <si>
    <t xml:space="preserve">Observações</t>
  </si>
  <si>
    <t xml:space="preserve">Suporte padrão para unidade externa de ar condicionado, com pintura eletrostática branca (par)</t>
  </si>
  <si>
    <t xml:space="preserve">un.</t>
  </si>
  <si>
    <t xml:space="preserve">https://www.frigelar.com.br/suporte-para-condensadora-eos-ate-45kgpar-500mm-perfil-u-slim-pintura-eletrostatica-500pux/p/kit426</t>
  </si>
  <si>
    <t xml:space="preserve">Multifrioshop</t>
  </si>
  <si>
    <t xml:space="preserve">https://www.multifrioshop.com/acessorios-ar-condicionado/suportes/suporte-para-ar-condicionado-split-500mm-12-000-a-24-000-btus</t>
  </si>
  <si>
    <t xml:space="preserve">Friopeças</t>
  </si>
  <si>
    <t xml:space="preserve">https://www.friopecas.com.br/suporte-500mm-para-ar-condicionado-split-18000-a-24000-btus/p</t>
  </si>
</sst>
</file>

<file path=xl/styles.xml><?xml version="1.0" encoding="utf-8"?>
<styleSheet xmlns="http://schemas.openxmlformats.org/spreadsheetml/2006/main">
  <numFmts count="18">
    <numFmt numFmtId="164" formatCode="General"/>
    <numFmt numFmtId="165" formatCode="#,##0.00\ ;&quot; (&quot;#,##0.00\);&quot; -&quot;#\ ;@\ "/>
    <numFmt numFmtId="166" formatCode="&quot;R$ &quot;#,##0.00"/>
    <numFmt numFmtId="167" formatCode="_-&quot;R$ &quot;* #,##0.00_-;&quot;-R$ &quot;* #,##0.00_-;_-&quot;R$ &quot;* \-??_-;_-@"/>
    <numFmt numFmtId="168" formatCode="D/M/YYYY"/>
    <numFmt numFmtId="169" formatCode="_-* #,##0.0000000_-;\-* #,##0.0000000_-;_-* \-??_-;_-@"/>
    <numFmt numFmtId="170" formatCode="_-* #,##0.00_-;\-* #,##0.00_-;_-* \-??_-;_-@"/>
    <numFmt numFmtId="171" formatCode="0.00%"/>
    <numFmt numFmtId="172" formatCode="_-* #,##0.00_-;\-* #,##0.00_-;_-* \-??_-;_-@"/>
    <numFmt numFmtId="173" formatCode="_-&quot;R$ &quot;* #,##0.00_-;&quot;-R$ &quot;* #,##0.00_-;_-&quot;R$ &quot;* \-??_-;_-@_-"/>
    <numFmt numFmtId="174" formatCode="0.00"/>
    <numFmt numFmtId="175" formatCode="#,##0.00"/>
    <numFmt numFmtId="176" formatCode="&quot;AC+S+R+G = &quot;0.00%"/>
    <numFmt numFmtId="177" formatCode="&quot;DF = &quot;0.00%"/>
    <numFmt numFmtId="178" formatCode="&quot;L = &quot;0.00%"/>
    <numFmt numFmtId="179" formatCode="&quot; = &quot;0.00"/>
    <numFmt numFmtId="180" formatCode="&quot;BDI = &quot;0.00%"/>
    <numFmt numFmtId="181" formatCode="D/M/YYYY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7.9"/>
      <color rgb="FF000000"/>
      <name val="Arial"/>
      <family val="2"/>
      <charset val="1"/>
    </font>
    <font>
      <sz val="7.9"/>
      <color rgb="FFFF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mbria Math"/>
      <family val="0"/>
    </font>
    <font>
      <sz val="11"/>
      <color rgb="FF000000"/>
      <name val="Calibri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b val="true"/>
      <u val="single"/>
      <sz val="11"/>
      <color rgb="FF000000"/>
      <name val="Calibri"/>
      <family val="0"/>
    </font>
    <font>
      <sz val="12"/>
      <color rgb="FF000000"/>
      <name val="Calibri"/>
      <family val="0"/>
    </font>
  </fonts>
  <fills count="10">
    <fill>
      <patternFill patternType="none"/>
    </fill>
    <fill>
      <patternFill patternType="gray125"/>
    </fill>
    <fill>
      <patternFill patternType="solid">
        <fgColor rgb="FFDEEAF6"/>
        <bgColor rgb="FFDAE3F3"/>
      </patternFill>
    </fill>
    <fill>
      <patternFill patternType="solid">
        <fgColor rgb="FFF2F2F2"/>
        <bgColor rgb="FFEFEFEF"/>
      </patternFill>
    </fill>
    <fill>
      <patternFill patternType="solid">
        <fgColor rgb="FFD9D9D9"/>
        <bgColor rgb="FFDAE3F3"/>
      </patternFill>
    </fill>
    <fill>
      <patternFill patternType="solid">
        <fgColor rgb="FFEFEFEF"/>
        <bgColor rgb="FFF2F2F2"/>
      </patternFill>
    </fill>
    <fill>
      <patternFill patternType="solid">
        <fgColor rgb="FFCCCCCC"/>
        <bgColor rgb="FFD9D9D9"/>
      </patternFill>
    </fill>
    <fill>
      <patternFill patternType="solid">
        <fgColor rgb="FFE6E6FF"/>
        <bgColor rgb="FFDEEAF6"/>
      </patternFill>
    </fill>
    <fill>
      <patternFill patternType="solid">
        <fgColor rgb="FFFFF2CC"/>
        <bgColor rgb="FFF2F2F2"/>
      </patternFill>
    </fill>
    <fill>
      <patternFill patternType="solid">
        <fgColor rgb="FFDAE3F3"/>
        <bgColor rgb="FFDEEAF6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2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3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6" fillId="3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21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6" fillId="4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5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8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8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7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75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8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8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5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5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8" fillId="5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8" fillId="5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8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8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8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5" fontId="8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6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6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7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6" fontId="4" fillId="7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7" fontId="4" fillId="7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8" fontId="4" fillId="7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1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9" fontId="4" fillId="6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14" fillId="6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11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4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0" fontId="11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21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0" borderId="1" xfId="23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19" fillId="0" borderId="2" xfId="23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9" fillId="0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81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0" fillId="0" borderId="13" xfId="17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1" builtinId="53" customBuiltin="true"/>
    <cellStyle name="Normal 3" xfId="22" builtinId="53" customBuiltin="true"/>
    <cellStyle name="Texto Explicativo 2" xfId="23" builtinId="53" customBuiltin="true"/>
    <cellStyle name="*unknown*" xfId="20" builtinId="8" customBuiltin="fals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DEEAF6"/>
      <rgbColor rgb="FF660066"/>
      <rgbColor rgb="FFFF8080"/>
      <rgbColor rgb="FF0563C1"/>
      <rgbColor rgb="FFB4C6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FEFEF"/>
      <rgbColor rgb="FFE6E6FF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85680</xdr:colOff>
      <xdr:row>0</xdr:row>
      <xdr:rowOff>57240</xdr:rowOff>
    </xdr:from>
    <xdr:to>
      <xdr:col>1</xdr:col>
      <xdr:colOff>1893960</xdr:colOff>
      <xdr:row>2</xdr:row>
      <xdr:rowOff>171360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85680" y="57240"/>
          <a:ext cx="2704680" cy="676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226080</xdr:colOff>
      <xdr:row>0</xdr:row>
      <xdr:rowOff>26280</xdr:rowOff>
    </xdr:from>
    <xdr:to>
      <xdr:col>1</xdr:col>
      <xdr:colOff>2175120</xdr:colOff>
      <xdr:row>2</xdr:row>
      <xdr:rowOff>140400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226080" y="26280"/>
          <a:ext cx="2704680" cy="676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488880</xdr:colOff>
      <xdr:row>24</xdr:row>
      <xdr:rowOff>134280</xdr:rowOff>
    </xdr:from>
    <xdr:to>
      <xdr:col>3</xdr:col>
      <xdr:colOff>764640</xdr:colOff>
      <xdr:row>32</xdr:row>
      <xdr:rowOff>86400</xdr:rowOff>
    </xdr:to>
    <xdr:sp>
      <xdr:nvSpPr>
        <xdr:cNvPr id="2" name="CustomShape 1"/>
        <xdr:cNvSpPr/>
      </xdr:nvSpPr>
      <xdr:spPr>
        <a:xfrm>
          <a:off x="629640" y="5392080"/>
          <a:ext cx="6051240" cy="15523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mbria Math"/>
              <a:ea typeface="Cambria Math"/>
            </a:rPr>
            <a:t>𝐵𝐷𝐼</a:t>
          </a:r>
          <a:r>
            <a:rPr b="0" lang="pt-BR" sz="1100" spc="-1" strike="noStrike">
              <a:solidFill>
                <a:srgbClr val="000000"/>
              </a:solidFill>
              <a:latin typeface="Cambria Math"/>
              <a:ea typeface="Cambria Math"/>
            </a:rPr>
            <a:t>=[ (1+(𝐴𝐶+𝑆+𝑅+𝐺))(1+𝐷𝐹)(1+𝐿)/((1−𝐼))−1]𝑥100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  <a:ea typeface="Calibri"/>
            </a:rPr>
            <a:t>Em que: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  <a:ea typeface="Calibri"/>
            </a:rPr>
            <a:t>AC  é a taxa de rateio da administração central;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  <a:ea typeface="Calibri"/>
            </a:rPr>
            <a:t>S é uma taxa representativa de seguros;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  <a:ea typeface="Calibri"/>
            </a:rPr>
            <a:t>R corresponde aos riscos e imprevistos;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  <a:ea typeface="Calibri"/>
            </a:rPr>
            <a:t>G é a taxa que representa o ônus das garantias exigidas em edital;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  <a:ea typeface="Calibri"/>
            </a:rPr>
            <a:t>DF é a taxa representativa das despesas financeiras;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  <a:ea typeface="Calibri"/>
            </a:rPr>
            <a:t>L corresponde à remuneração bruta do construtor;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  <a:ea typeface="Calibri"/>
            </a:rPr>
            <a:t>I é a taxa representativa dos tributos incidentes sobre o preço de venda (PIS, Cofins, CPRB e ISS)</a:t>
          </a:r>
          <a:endParaRPr b="0" lang="pt-BR" sz="11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169200</xdr:colOff>
      <xdr:row>0</xdr:row>
      <xdr:rowOff>21240</xdr:rowOff>
    </xdr:from>
    <xdr:to>
      <xdr:col>1</xdr:col>
      <xdr:colOff>2627280</xdr:colOff>
      <xdr:row>0</xdr:row>
      <xdr:rowOff>645840</xdr:rowOff>
    </xdr:to>
    <xdr:pic>
      <xdr:nvPicPr>
        <xdr:cNvPr id="3" name="Imagem 3" descr=""/>
        <xdr:cNvPicPr/>
      </xdr:nvPicPr>
      <xdr:blipFill>
        <a:blip r:embed="rId1"/>
        <a:stretch/>
      </xdr:blipFill>
      <xdr:spPr>
        <a:xfrm>
          <a:off x="309960" y="21240"/>
          <a:ext cx="2458080" cy="624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681120</xdr:colOff>
      <xdr:row>3</xdr:row>
      <xdr:rowOff>71640</xdr:rowOff>
    </xdr:from>
    <xdr:to>
      <xdr:col>6</xdr:col>
      <xdr:colOff>994680</xdr:colOff>
      <xdr:row>56</xdr:row>
      <xdr:rowOff>189000</xdr:rowOff>
    </xdr:to>
    <xdr:pic>
      <xdr:nvPicPr>
        <xdr:cNvPr id="4" name="Imagem 1" descr=""/>
        <xdr:cNvPicPr/>
      </xdr:nvPicPr>
      <xdr:blipFill>
        <a:blip r:embed="rId1"/>
        <a:stretch/>
      </xdr:blipFill>
      <xdr:spPr>
        <a:xfrm>
          <a:off x="681120" y="843120"/>
          <a:ext cx="7299000" cy="1021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371160</xdr:colOff>
      <xdr:row>11</xdr:row>
      <xdr:rowOff>189000</xdr:rowOff>
    </xdr:from>
    <xdr:to>
      <xdr:col>5</xdr:col>
      <xdr:colOff>224640</xdr:colOff>
      <xdr:row>55</xdr:row>
      <xdr:rowOff>120960</xdr:rowOff>
    </xdr:to>
    <xdr:sp>
      <xdr:nvSpPr>
        <xdr:cNvPr id="5" name="CustomShape 1"/>
        <xdr:cNvSpPr/>
      </xdr:nvSpPr>
      <xdr:spPr>
        <a:xfrm>
          <a:off x="4211640" y="2484360"/>
          <a:ext cx="1950120" cy="8313840"/>
        </a:xfrm>
        <a:prstGeom prst="rect">
          <a:avLst/>
        </a:prstGeom>
        <a:noFill/>
        <a:ln w="57240">
          <a:solidFill>
            <a:srgbClr val="ff0000"/>
          </a:solidFill>
          <a:custDash>
            <a:ds d="400000" sp="300000"/>
          </a:custDash>
          <a:rou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0</xdr:col>
      <xdr:colOff>380880</xdr:colOff>
      <xdr:row>0</xdr:row>
      <xdr:rowOff>71280</xdr:rowOff>
    </xdr:from>
    <xdr:to>
      <xdr:col>2</xdr:col>
      <xdr:colOff>410040</xdr:colOff>
      <xdr:row>2</xdr:row>
      <xdr:rowOff>315000</xdr:rowOff>
    </xdr:to>
    <xdr:pic>
      <xdr:nvPicPr>
        <xdr:cNvPr id="6" name="Imagem 3" descr=""/>
        <xdr:cNvPicPr/>
      </xdr:nvPicPr>
      <xdr:blipFill>
        <a:blip r:embed="rId2"/>
        <a:stretch/>
      </xdr:blipFill>
      <xdr:spPr>
        <a:xfrm>
          <a:off x="380880" y="71280"/>
          <a:ext cx="2589480" cy="624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180000</xdr:colOff>
      <xdr:row>0</xdr:row>
      <xdr:rowOff>190440</xdr:rowOff>
    </xdr:from>
    <xdr:to>
      <xdr:col>1</xdr:col>
      <xdr:colOff>1618920</xdr:colOff>
      <xdr:row>0</xdr:row>
      <xdr:rowOff>815040</xdr:rowOff>
    </xdr:to>
    <xdr:pic>
      <xdr:nvPicPr>
        <xdr:cNvPr id="7" name="Imagem 2" descr=""/>
        <xdr:cNvPicPr/>
      </xdr:nvPicPr>
      <xdr:blipFill>
        <a:blip r:embed="rId1"/>
        <a:stretch/>
      </xdr:blipFill>
      <xdr:spPr>
        <a:xfrm>
          <a:off x="180000" y="190440"/>
          <a:ext cx="2517480" cy="624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114480</xdr:colOff>
      <xdr:row>40</xdr:row>
      <xdr:rowOff>57240</xdr:rowOff>
    </xdr:from>
    <xdr:to>
      <xdr:col>3</xdr:col>
      <xdr:colOff>876240</xdr:colOff>
      <xdr:row>59</xdr:row>
      <xdr:rowOff>142560</xdr:rowOff>
    </xdr:to>
    <xdr:sp>
      <xdr:nvSpPr>
        <xdr:cNvPr id="8" name="CustomShape 1"/>
        <xdr:cNvSpPr/>
      </xdr:nvSpPr>
      <xdr:spPr>
        <a:xfrm>
          <a:off x="114480" y="13154040"/>
          <a:ext cx="7464600" cy="37047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>
            <a:lnSpc>
              <a:spcPct val="100000"/>
            </a:lnSpc>
          </a:pPr>
          <a:r>
            <a:rPr b="1" lang="pt-BR" sz="1100" spc="-1" strike="noStrike" u="sng">
              <a:solidFill>
                <a:srgbClr val="000000"/>
              </a:solidFill>
              <a:uFillTx/>
              <a:latin typeface="Calibri"/>
            </a:rPr>
            <a:t>Observações e critérios utilizados: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Coeficiente de variação = Desvio padrão da amostra dividido pela média da amostra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Se o coeficiente de variação for inferior a 0,25 ou 25%, adotada a média</a:t>
          </a:r>
          <a:r>
            <a:rPr b="0" lang="pt-BR" sz="1200" spc="-1" strike="noStrike">
              <a:solidFill>
                <a:srgbClr val="000000"/>
              </a:solidFill>
              <a:latin typeface="Calibri"/>
            </a:rPr>
            <a:t> </a:t>
          </a:r>
          <a:endParaRPr b="0" lang="pt-B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Se o coeficiente de variação for superior ou igual a 0,25 ou 25%, adotada a mediana</a:t>
          </a:r>
          <a:r>
            <a:rPr b="0" lang="pt-BR" sz="1200" spc="-1" strike="noStrike">
              <a:solidFill>
                <a:srgbClr val="000000"/>
              </a:solidFill>
              <a:latin typeface="Calibri"/>
            </a:rPr>
            <a:t> </a:t>
          </a:r>
          <a:endParaRPr b="0" lang="pt-B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Os itens com valores promocionais não são considerados.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Não são considerados custos de fornecedores em plataformas intermediadoras de vendas, sem identificação empresarial completa (sites de vendas e leilão exemplo Shopee, Mercadolivre, Ebay, OLX)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O frete foi incluido nos casos de fornecimento de insumos especializados</a:t>
          </a:r>
          <a:r>
            <a:rPr b="0" lang="pt-BR" sz="1200" spc="-1" strike="noStrike">
              <a:solidFill>
                <a:srgbClr val="000000"/>
              </a:solidFill>
              <a:latin typeface="Calibri"/>
            </a:rPr>
            <a:t> de maior valor agregado, sobretudo equipamentos.</a:t>
          </a:r>
          <a:endParaRPr b="0" lang="pt-B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O frete não é considerado em produtos com boa oferta no mercado regional e de baixo custo.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200" spc="-1" strike="noStrike">
              <a:solidFill>
                <a:srgbClr val="000000"/>
              </a:solidFill>
              <a:latin typeface="Calibri"/>
            </a:rPr>
            <a:t> </a:t>
          </a:r>
          <a:r>
            <a:rPr b="0" lang="pt-BR" sz="1100" spc="-1" strike="noStrike">
              <a:solidFill>
                <a:srgbClr val="000000"/>
              </a:solidFill>
              <a:latin typeface="Calibri"/>
            </a:rPr>
            <a:t>Entende-se que os valores no mercado local acompanhem os valores da internet para produtos comuns.</a:t>
          </a:r>
          <a:r>
            <a:rPr b="0" lang="pt-BR" sz="1200" spc="-1" strike="noStrike">
              <a:solidFill>
                <a:srgbClr val="000000"/>
              </a:solidFill>
              <a:latin typeface="Calibri"/>
            </a:rPr>
            <a:t> </a:t>
          </a:r>
          <a:endParaRPr b="0" lang="pt-B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12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Não se adotou a média saneada (expurgando valores extremos) devido ao baixo número de cotações obtidas para os itens, o que prejudicaria o valor estatístico da técnica. Além disso, na prática, tem-se observado que a média saneada se aproxima bastante dos valores obtidos pela mediana nos casos de CV&gt;0,25.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pt-BR" sz="1100" spc="-1" strike="noStrike">
              <a:solidFill>
                <a:srgbClr val="000000"/>
              </a:solidFill>
              <a:latin typeface="Calibri"/>
            </a:rPr>
            <a:t>Por fim, destaca-se que a contratação de serviços em questão não conta somente com itens cotados diretamente no mercado, mas o maior peso da contratação se dá por itens existentes em tabelas oficiais SINAPI, de forma que o rebuscamento da pesquisa dos insumos complementares aqui realizada (Mapa de Cotações) não traria ganhos significativos em precisão e potencialmente atrasaria o procedimento de formação do custo pela Administração.</a:t>
          </a:r>
          <a:endParaRPr b="0" lang="pt-BR" sz="11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pt-BR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s://www.climanorte.com.br/pecas/pecas-ar-condicionado/bactericida-1lt-c-borrifador-talco?parceiro=5572" TargetMode="External"/><Relationship Id="rId2" Type="http://schemas.openxmlformats.org/officeDocument/2006/relationships/hyperlink" Target="https://www.gelatudo.com.br/268?gclid=Cj0KCQjw0oyYBhDGARIsAMZEuMsnu3EsFp3tzdIUlhKheY4es--TSl_ShCgNBce51QBfFeoWQ4dzFOwaAl65EALw_wcB" TargetMode="External"/><Relationship Id="rId3" Type="http://schemas.openxmlformats.org/officeDocument/2006/relationships/hyperlink" Target="https://www.refritron.com.br/material-para-instalacao-e-manutencao-de-ar/produtos-de-limpeza-e-higienizacao/bactericida-desinfetante-higienizador-c-borrifador-ar-condicionado-1-litro-talco-refritron" TargetMode="External"/><Relationship Id="rId4" Type="http://schemas.openxmlformats.org/officeDocument/2006/relationships/hyperlink" Target="https://www.frigelar.com.br/gas-refrigerante-r410a-eos-cilindro-de-1134kg/p/kit5357?gclid=Cj0KCQjw9ZGYBhCEARIsAEUXITWbmrla6nttiTd_KJQ1pG2vMRfiaQPjzM9xoLw20lXWxmeetJfa0qoaAj9vEALw_wcB" TargetMode="External"/><Relationship Id="rId5" Type="http://schemas.openxmlformats.org/officeDocument/2006/relationships/hyperlink" Target="https://www.dufrio.com.br/fluido-refrigerante-dugold-r410-113kg-onu-3163.html?utm_source=google&amp;utm_medium=shopping&amp;apwc=Y2FuYWxJbnRlZ3JhY2FvPTQ0N3xwcm9kdXRvPTg2NTc=&amp;gclid=Cj0KCQjw9ZGYBhCEARIsAEUXITV6_SKux7s_Jp8ZLdwN-zGtGjuYSDp4fCn25s5RNTEW16UqFcM8a2EaAg1" TargetMode="External"/><Relationship Id="rId6" Type="http://schemas.openxmlformats.org/officeDocument/2006/relationships/hyperlink" Target="https://www.eletrofrigor.com.br/gas-r410a-eos-dac-11-34-kg.html?gclid=Cj0KCQjw9ZGYBhCEARIsAEUXITWMOxHJqtgqCApj09t1ZWc2oqXA_pLMPpzyCikWtWal6GIsVGgvYdQaAmHFEALw_wcB" TargetMode="External"/><Relationship Id="rId7" Type="http://schemas.openxmlformats.org/officeDocument/2006/relationships/hyperlink" Target="https://www.samatec.com.br/manifold-r410-22-404-mangueira-150-mastercool--36661-e/p" TargetMode="External"/><Relationship Id="rId8" Type="http://schemas.openxmlformats.org/officeDocument/2006/relationships/hyperlink" Target="https://www.frigelar.com.br/kit-de-manifold-profissional-eos-com-mangueira-de-12m-para-r22r134a407com410a-e-maleta/p/kit1473" TargetMode="External"/><Relationship Id="rId9" Type="http://schemas.openxmlformats.org/officeDocument/2006/relationships/hyperlink" Target="https://www.lojadomecanico.com.br/produto/106729/11/157/kit-manifold-completo-com-3-mangueiras-dm-ferramentas-dm-030" TargetMode="External"/><Relationship Id="rId10" Type="http://schemas.openxmlformats.org/officeDocument/2006/relationships/hyperlink" Target="https://www.madeiramadeira.com.br/kit-manifold-manometros-analogicos-gallant-r410a-r22-r134a-r404a-1821345.html?index=vr-prod-poc-madeira-best-seller-desc" TargetMode="External"/><Relationship Id="rId11" Type="http://schemas.openxmlformats.org/officeDocument/2006/relationships/hyperlink" Target="https://www.frigelar.com.br/suporte-para-condensadora-eos-ate-45kgpar-500mm-perfil-u-slim-pintura-eletrostatica-500pux/p/kit426" TargetMode="External"/><Relationship Id="rId12" Type="http://schemas.openxmlformats.org/officeDocument/2006/relationships/hyperlink" Target="https://www.multifrioshop.com/acessorios-ar-condicionado/suportes/suporte-para-ar-condicionado-split-500mm-12-000-a-24-000-btus" TargetMode="External"/><Relationship Id="rId13" Type="http://schemas.openxmlformats.org/officeDocument/2006/relationships/hyperlink" Target="https://www.friopecas.com.br/suporte-500mm-para-ar-condicionado-split-18000-a-24000-btus/p" TargetMode="External"/><Relationship Id="rId14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B4C6E7"/>
    <pageSetUpPr fitToPage="true"/>
  </sheetPr>
  <dimension ref="A1:Z1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L14" activeCellId="0" sqref="L14"/>
    </sheetView>
  </sheetViews>
  <sheetFormatPr defaultRowHeight="15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1" width="72.86"/>
    <col collapsed="false" customWidth="true" hidden="false" outlineLevel="0" max="3" min="3" style="1" width="8.42"/>
    <col collapsed="false" customWidth="true" hidden="false" outlineLevel="0" max="7" min="4" style="1" width="12.14"/>
    <col collapsed="false" customWidth="true" hidden="false" outlineLevel="0" max="8" min="8" style="1" width="14.28"/>
    <col collapsed="false" customWidth="true" hidden="false" outlineLevel="0" max="9" min="9" style="1" width="11.57"/>
    <col collapsed="false" customWidth="true" hidden="false" outlineLevel="0" max="10" min="10" style="1" width="11.14"/>
    <col collapsed="false" customWidth="true" hidden="false" outlineLevel="0" max="11" min="11" style="1" width="11.57"/>
    <col collapsed="false" customWidth="true" hidden="false" outlineLevel="0" max="12" min="12" style="1" width="13.86"/>
    <col collapsed="false" customWidth="true" hidden="false" outlineLevel="0" max="26" min="13" style="1" width="8.71"/>
    <col collapsed="false" customWidth="true" hidden="false" outlineLevel="0" max="1025" min="27" style="1" width="14.43"/>
  </cols>
  <sheetData>
    <row r="1" customFormat="false" ht="29.25" hidden="false" customHeight="true" outlineLevel="0" collapsed="false">
      <c r="A1" s="2"/>
      <c r="B1" s="2"/>
      <c r="C1" s="2" t="s">
        <v>0</v>
      </c>
      <c r="D1" s="2"/>
      <c r="E1" s="2"/>
      <c r="F1" s="2"/>
      <c r="G1" s="2"/>
      <c r="H1" s="2"/>
      <c r="I1" s="3"/>
      <c r="J1" s="4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customFormat="false" ht="15" hidden="false" customHeight="true" outlineLevel="0" collapsed="false">
      <c r="A2" s="2"/>
      <c r="B2" s="2"/>
      <c r="C2" s="6" t="s">
        <v>1</v>
      </c>
      <c r="D2" s="6"/>
      <c r="E2" s="6"/>
      <c r="F2" s="6"/>
      <c r="G2" s="6"/>
      <c r="H2" s="7" t="n">
        <v>44796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customFormat="false" ht="15" hidden="false" customHeight="true" outlineLevel="0" collapsed="false">
      <c r="A3" s="2"/>
      <c r="B3" s="2"/>
      <c r="C3" s="6"/>
      <c r="D3" s="6"/>
      <c r="E3" s="6"/>
      <c r="F3" s="6"/>
      <c r="G3" s="6"/>
      <c r="H3" s="8" t="s">
        <v>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45" hidden="false" customHeight="false" outlineLevel="0" collapsed="false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15" hidden="false" customHeight="false" outlineLevel="0" collapsed="false">
      <c r="A5" s="11" t="s">
        <v>11</v>
      </c>
      <c r="B5" s="12" t="s">
        <v>12</v>
      </c>
      <c r="C5" s="13"/>
      <c r="D5" s="11"/>
      <c r="E5" s="11"/>
      <c r="F5" s="11"/>
      <c r="G5" s="11"/>
      <c r="H5" s="14" t="n">
        <f aca="false">SUM(H6:H11)</f>
        <v>70062.2403835764</v>
      </c>
      <c r="I5" s="15" t="n">
        <f aca="false">H5/$H$12</f>
        <v>1</v>
      </c>
    </row>
    <row r="6" customFormat="false" ht="54" hidden="false" customHeight="true" outlineLevel="0" collapsed="false">
      <c r="A6" s="16" t="s">
        <v>13</v>
      </c>
      <c r="B6" s="17" t="str">
        <f aca="false">VLOOKUP($A6,Composições!$A:$H,2,0)</f>
        <v>Manutenção preventiva (bimestral) e corretiva , a qualquer tempo, sob demanda, de ar condicionado Split de 9000 a 12000 btu
(Quantidade de equipamentos: 6 )</v>
      </c>
      <c r="C6" s="18" t="str">
        <f aca="false">VLOOKUP($A6,Composições!$A:$H,4,0)</f>
        <v>un*mês</v>
      </c>
      <c r="D6" s="19" t="n">
        <f aca="false">VLOOKUP($A6,Composições!$A:$H,5,0)</f>
        <v>36</v>
      </c>
      <c r="E6" s="19" t="n">
        <f aca="false">VLOOKUP($A6,Composições!$A:$H,7,0)</f>
        <v>74.22174</v>
      </c>
      <c r="F6" s="19" t="n">
        <f aca="false">VLOOKUP($A6,Composições!$A:$H,8,0)</f>
        <v>93.34</v>
      </c>
      <c r="G6" s="19" t="n">
        <f aca="false">E6*(1+BDI_MAT)+F6*(1+BDI_MO)</f>
        <v>209.229252153718</v>
      </c>
      <c r="H6" s="20" t="n">
        <f aca="false">G6*D6</f>
        <v>7532.25307753385</v>
      </c>
      <c r="I6" s="15" t="n">
        <f aca="false">H6/$H$12</f>
        <v>0.107508024811886</v>
      </c>
    </row>
    <row r="7" customFormat="false" ht="45" hidden="false" customHeight="false" outlineLevel="0" collapsed="false">
      <c r="A7" s="16" t="s">
        <v>14</v>
      </c>
      <c r="B7" s="17" t="str">
        <f aca="false">VLOOKUP($A7,Composições!$A:$H,2,0)</f>
        <v>Manutenção preventiva (bimestral) e corretiva , a qualquer tempo, sob demanda,  de ar condicionado Split de 18000 a 24000 btu
(Quantidade de equipamentos: 30)</v>
      </c>
      <c r="C7" s="18" t="str">
        <f aca="false">VLOOKUP($A7,Composições!$A:$H,4,0)</f>
        <v>un*mês</v>
      </c>
      <c r="D7" s="19" t="n">
        <f aca="false">VLOOKUP($A7,Composições!$A:$H,5,0)</f>
        <v>180</v>
      </c>
      <c r="E7" s="19" t="n">
        <f aca="false">VLOOKUP($A7,Composições!$A:$H,7,0)</f>
        <v>117.291925</v>
      </c>
      <c r="F7" s="19" t="n">
        <f aca="false">VLOOKUP($A7,Composições!$A:$H,8,0)</f>
        <v>116.675</v>
      </c>
      <c r="G7" s="19" t="n">
        <f aca="false">E7*(1+BDI_MAT)+F7*(1+BDI_MO)</f>
        <v>290.928734486852</v>
      </c>
      <c r="H7" s="20" t="n">
        <f aca="false">G7*D7</f>
        <v>52367.1722076333</v>
      </c>
      <c r="I7" s="15" t="n">
        <f aca="false">H7/$H$12</f>
        <v>0.747437876963879</v>
      </c>
    </row>
    <row r="8" customFormat="false" ht="30" hidden="true" customHeight="false" outlineLevel="0" collapsed="false">
      <c r="A8" s="16" t="s">
        <v>15</v>
      </c>
      <c r="B8" s="17" t="str">
        <f aca="false">VLOOKUP($A8,Composições!$A:$H,2,0)</f>
        <v>Manutenção preventiva (bimestral) e corretiva , a qualquer tempo, sob demanda,  de ar condicionado Split de 30000 a 36000 btu</v>
      </c>
      <c r="C8" s="18" t="str">
        <f aca="false">VLOOKUP($A8,Composições!$A:$H,4,0)</f>
        <v>un*mês</v>
      </c>
      <c r="D8" s="19" t="n">
        <f aca="false">VLOOKUP($A8,Composições!$A:$H,5,0)</f>
        <v>0</v>
      </c>
      <c r="E8" s="19" t="n">
        <f aca="false">VLOOKUP($A8,Composições!$A:$H,7,0)</f>
        <v>127.07711</v>
      </c>
      <c r="F8" s="19" t="n">
        <f aca="false">VLOOKUP($A8,Composições!$A:$H,8,0)</f>
        <v>140.01</v>
      </c>
      <c r="G8" s="19" t="n">
        <f aca="false">E8*(1+BDI_MAT)+F8*(1+BDI_MO)</f>
        <v>332.720881237357</v>
      </c>
      <c r="H8" s="20" t="n">
        <f aca="false">G8*D8</f>
        <v>0</v>
      </c>
      <c r="I8" s="15" t="n">
        <f aca="false">H8/$H$12</f>
        <v>0</v>
      </c>
    </row>
    <row r="9" customFormat="false" ht="30" hidden="true" customHeight="false" outlineLevel="0" collapsed="false">
      <c r="A9" s="16" t="s">
        <v>16</v>
      </c>
      <c r="B9" s="17" t="str">
        <f aca="false">VLOOKUP($A9,Composições!$A:$H,2,0)</f>
        <v>Manutenção preventiva (bimestral) e corretiva , a qualquer tempo, sob demanda,  de ar condicionado Split de 48000 a 60000 btu</v>
      </c>
      <c r="C9" s="18" t="str">
        <f aca="false">VLOOKUP($A9,Composições!$A:$H,4,0)</f>
        <v>un*mês</v>
      </c>
      <c r="D9" s="19" t="n">
        <f aca="false">VLOOKUP($A9,Composições!$A:$H,5,0)</f>
        <v>0</v>
      </c>
      <c r="E9" s="19" t="n">
        <f aca="false">VLOOKUP($A9,Composições!$A:$H,7,0)</f>
        <v>170.147295</v>
      </c>
      <c r="F9" s="19" t="n">
        <f aca="false">VLOOKUP($A9,Composições!$A:$H,8,0)</f>
        <v>163.345</v>
      </c>
      <c r="G9" s="19" t="n">
        <f aca="false">E9*(1+BDI_MAT)+F9*(1+BDI_MO)</f>
        <v>414.420363570491</v>
      </c>
      <c r="H9" s="20" t="n">
        <f aca="false">G9*D9</f>
        <v>0</v>
      </c>
      <c r="I9" s="15" t="n">
        <f aca="false">H9/$H$12</f>
        <v>0</v>
      </c>
    </row>
    <row r="10" customFormat="false" ht="105" hidden="false" customHeight="false" outlineLevel="0" collapsed="false">
      <c r="A10" s="16" t="s">
        <v>17</v>
      </c>
      <c r="B10" s="17" t="str">
        <f aca="false">VLOOKUP($A10,Composições!$A:$H,2,0)</f>
        <v>Serviço de Instalação Completa de Aparelho de Ar Condicionado Split qualquer tipo (hiwall,piso-teto,cassete), potência até 60.000 BTU, com execução de linha frigorígena isolada termicamente, adequadamente embutida em alvenarias ou sobre forros, rede de dreno em tubulação PVC embutida e alimentação elétrica com eletroduto, proteção e circuito exclusivos até o quadro de alimentação, inclui unidades condensadora (externa) e evaporadora (interna). Com recomposição completa. Aparelho a ser fornecido pelo Contratante.</v>
      </c>
      <c r="C10" s="18" t="str">
        <f aca="false">VLOOKUP($A10,Composições!$A:$H,4,0)</f>
        <v>un</v>
      </c>
      <c r="D10" s="19" t="n">
        <f aca="false">VLOOKUP($A10,Composições!$A:$H,5,0)</f>
        <v>8</v>
      </c>
      <c r="E10" s="19" t="n">
        <f aca="false">VLOOKUP($A10,Composições!$A:$H,7,0)</f>
        <v>761.5833</v>
      </c>
      <c r="F10" s="19" t="n">
        <f aca="false">VLOOKUP($A10,Composições!$A:$H,8,0)</f>
        <v>205.555</v>
      </c>
      <c r="G10" s="19" t="n">
        <f aca="false">E10*(1+BDI_MAT)+F10*(1+BDI_MO)</f>
        <v>1177.90248785871</v>
      </c>
      <c r="H10" s="20" t="n">
        <f aca="false">G10*D10</f>
        <v>9423.21990286966</v>
      </c>
      <c r="I10" s="4"/>
    </row>
    <row r="11" customFormat="false" ht="72.75" hidden="false" customHeight="true" outlineLevel="0" collapsed="false">
      <c r="A11" s="21" t="s">
        <v>18</v>
      </c>
      <c r="B11" s="17" t="str">
        <f aca="false">VLOOKUP($A11,Composições!$A:$H,2,0)</f>
        <v>Serviço de Retirada completa de ar condicionado split, qualquer tipo (hiwall,piso-teto,cassete)/modelo/potencia até 60.000 BTU (composto por unidades condensadora e evaporadora), com salvamento e entrega ao Contratante</v>
      </c>
      <c r="C11" s="18" t="str">
        <f aca="false">VLOOKUP($A11,Composições!$A:$H,4,0)</f>
        <v>un</v>
      </c>
      <c r="D11" s="19" t="n">
        <f aca="false">VLOOKUP($A11,Composições!$A:$H,5,0)</f>
        <v>8</v>
      </c>
      <c r="E11" s="19" t="n">
        <f aca="false">VLOOKUP($A11,Composições!$A:$H,7,0)</f>
        <v>14.92</v>
      </c>
      <c r="F11" s="19" t="n">
        <f aca="false">VLOOKUP($A11,Composições!$A:$H,8,0)</f>
        <v>57.88</v>
      </c>
      <c r="G11" s="19" t="n">
        <f aca="false">E11*(1+BDI_MAT)+F11*(1+BDI_MO)</f>
        <v>92.4493994424478</v>
      </c>
      <c r="H11" s="20" t="n">
        <f aca="false">G11*D11</f>
        <v>739.595195539582</v>
      </c>
    </row>
    <row r="12" customFormat="false" ht="15.75" hidden="false" customHeight="true" outlineLevel="0" collapsed="false">
      <c r="A12" s="22" t="s">
        <v>19</v>
      </c>
      <c r="B12" s="22"/>
      <c r="C12" s="22"/>
      <c r="D12" s="22"/>
      <c r="E12" s="22"/>
      <c r="F12" s="22"/>
      <c r="G12" s="22"/>
      <c r="H12" s="23" t="n">
        <f aca="false">SUM(H6:H11)</f>
        <v>70062.2403835764</v>
      </c>
      <c r="I12" s="24"/>
      <c r="K12" s="24" t="s">
        <v>20</v>
      </c>
      <c r="L12" s="25" t="n">
        <f aca="false">(H6+H7)/6</f>
        <v>9983.23754752786</v>
      </c>
    </row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>
      <c r="B15" s="26" t="s">
        <v>21</v>
      </c>
    </row>
    <row r="16" customFormat="false" ht="15.75" hidden="false" customHeight="true" outlineLevel="0" collapsed="false">
      <c r="B16" s="27" t="s">
        <v>22</v>
      </c>
    </row>
    <row r="17" customFormat="false" ht="15.75" hidden="false" customHeight="true" outlineLevel="0" collapsed="false">
      <c r="B17" s="4" t="s">
        <v>23</v>
      </c>
    </row>
    <row r="18" customFormat="false" ht="15.75" hidden="false" customHeight="true" outlineLevel="0" collapsed="false">
      <c r="B18" s="4" t="s">
        <v>24</v>
      </c>
    </row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</sheetData>
  <mergeCells count="4">
    <mergeCell ref="A1:B3"/>
    <mergeCell ref="C1:H1"/>
    <mergeCell ref="C2:G3"/>
    <mergeCell ref="A12:G1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B4C6E7"/>
    <pageSetUpPr fitToPage="true"/>
  </sheetPr>
  <dimension ref="A1:V118"/>
  <sheetViews>
    <sheetView showFormulas="false" showGridLines="true" showRowColHeaders="true" showZeros="true" rightToLeft="false" tabSelected="false" showOutlineSymbols="true" defaultGridColor="true" view="pageBreakPreview" topLeftCell="A104" colorId="64" zoomScale="115" zoomScaleNormal="100" zoomScalePageLayoutView="115" workbookViewId="0">
      <selection pane="topLeft" activeCell="L14" activeCellId="0" sqref="L14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28" width="61.71"/>
    <col collapsed="false" customWidth="true" hidden="false" outlineLevel="0" max="3" min="3" style="1" width="14.28"/>
    <col collapsed="false" customWidth="true" hidden="false" outlineLevel="0" max="4" min="4" style="1" width="9.29"/>
    <col collapsed="false" customWidth="true" hidden="false" outlineLevel="0" max="5" min="5" style="1" width="13.86"/>
    <col collapsed="false" customWidth="true" hidden="false" outlineLevel="0" max="7" min="6" style="1" width="17.71"/>
    <col collapsed="false" customWidth="true" hidden="false" outlineLevel="0" max="8" min="8" style="1" width="18.14"/>
    <col collapsed="false" customWidth="true" hidden="false" outlineLevel="0" max="9" min="9" style="1" width="8.71"/>
    <col collapsed="false" customWidth="true" hidden="false" outlineLevel="0" max="10" min="10" style="1" width="13.43"/>
    <col collapsed="false" customWidth="true" hidden="false" outlineLevel="0" max="22" min="11" style="1" width="8.71"/>
    <col collapsed="false" customWidth="true" hidden="false" outlineLevel="0" max="1025" min="23" style="1" width="14.43"/>
  </cols>
  <sheetData>
    <row r="1" customFormat="false" ht="29.25" hidden="false" customHeight="true" outlineLevel="0" collapsed="false">
      <c r="A1" s="29"/>
      <c r="B1" s="29"/>
      <c r="C1" s="30" t="s">
        <v>25</v>
      </c>
      <c r="D1" s="30"/>
      <c r="E1" s="30"/>
      <c r="F1" s="30"/>
      <c r="G1" s="30"/>
      <c r="H1" s="30"/>
      <c r="I1" s="4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customFormat="false" ht="15" hidden="false" customHeight="true" outlineLevel="0" collapsed="false">
      <c r="A2" s="29"/>
      <c r="B2" s="29"/>
      <c r="C2" s="31" t="str">
        <f aca="false">'Orçamento Sintético'!C2</f>
        <v>MANUTENÇÃO DE AR CONDICIONADO - RIO VERDE</v>
      </c>
      <c r="D2" s="31"/>
      <c r="E2" s="31"/>
      <c r="F2" s="31"/>
      <c r="G2" s="31"/>
      <c r="H2" s="7" t="n">
        <f aca="false">'Orçamento Sintético'!H2</f>
        <v>44796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Format="false" ht="15" hidden="false" customHeight="true" outlineLevel="0" collapsed="false">
      <c r="A3" s="29"/>
      <c r="B3" s="29"/>
      <c r="C3" s="31"/>
      <c r="D3" s="31"/>
      <c r="E3" s="31"/>
      <c r="F3" s="31"/>
      <c r="G3" s="31"/>
      <c r="H3" s="32" t="str">
        <f aca="false">'Orçamento Sintético'!H3</f>
        <v>SINAPI 06/22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customFormat="false" ht="30" hidden="false" customHeight="false" outlineLevel="0" collapsed="false">
      <c r="A4" s="33" t="s">
        <v>3</v>
      </c>
      <c r="B4" s="33" t="s">
        <v>4</v>
      </c>
      <c r="C4" s="33" t="s">
        <v>26</v>
      </c>
      <c r="D4" s="34" t="s">
        <v>5</v>
      </c>
      <c r="E4" s="34" t="s">
        <v>27</v>
      </c>
      <c r="F4" s="34" t="s">
        <v>28</v>
      </c>
      <c r="G4" s="34" t="s">
        <v>29</v>
      </c>
      <c r="H4" s="34" t="s">
        <v>30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customFormat="false" ht="7.5" hidden="false" customHeight="true" outlineLevel="0" collapsed="false">
      <c r="A5" s="35"/>
      <c r="B5" s="36"/>
      <c r="C5" s="37"/>
      <c r="D5" s="38"/>
      <c r="E5" s="37"/>
      <c r="F5" s="37"/>
      <c r="G5" s="37"/>
      <c r="H5" s="39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customFormat="false" ht="31.5" hidden="false" customHeight="false" outlineLevel="0" collapsed="false">
      <c r="A6" s="40" t="s">
        <v>13</v>
      </c>
      <c r="B6" s="41" t="s">
        <v>31</v>
      </c>
      <c r="C6" s="40" t="s">
        <v>32</v>
      </c>
      <c r="D6" s="42" t="s">
        <v>33</v>
      </c>
      <c r="E6" s="43" t="n">
        <v>36</v>
      </c>
      <c r="F6" s="44" t="n">
        <f aca="false">G6+H6</f>
        <v>167.56174</v>
      </c>
      <c r="G6" s="44" t="n">
        <f aca="false">SUMPRODUCT(E10:E21,F10:F21)</f>
        <v>74.22174</v>
      </c>
      <c r="H6" s="44" t="n">
        <f aca="false">SUMPRODUCT(E7:E9,F7:F9)</f>
        <v>93.34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customFormat="false" ht="15" hidden="false" customHeight="false" outlineLevel="0" collapsed="false">
      <c r="A7" s="45" t="n">
        <v>242</v>
      </c>
      <c r="B7" s="46" t="s">
        <v>34</v>
      </c>
      <c r="C7" s="47" t="s">
        <v>35</v>
      </c>
      <c r="D7" s="47" t="s">
        <v>36</v>
      </c>
      <c r="E7" s="48" t="n">
        <v>2</v>
      </c>
      <c r="F7" s="47" t="n">
        <v>11.26</v>
      </c>
      <c r="G7" s="49"/>
      <c r="H7" s="49" t="n">
        <v>22.52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customFormat="false" ht="15" hidden="false" customHeight="false" outlineLevel="0" collapsed="false">
      <c r="A8" s="45" t="n">
        <v>2436</v>
      </c>
      <c r="B8" s="46" t="s">
        <v>37</v>
      </c>
      <c r="C8" s="47" t="s">
        <v>35</v>
      </c>
      <c r="D8" s="47" t="s">
        <v>36</v>
      </c>
      <c r="E8" s="48" t="n">
        <v>2</v>
      </c>
      <c r="F8" s="47" t="n">
        <v>17.73</v>
      </c>
      <c r="G8" s="49"/>
      <c r="H8" s="49" t="n">
        <v>35.46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customFormat="false" ht="15" hidden="false" customHeight="false" outlineLevel="0" collapsed="false">
      <c r="A9" s="45" t="n">
        <v>34794</v>
      </c>
      <c r="B9" s="46" t="s">
        <v>38</v>
      </c>
      <c r="C9" s="47" t="s">
        <v>35</v>
      </c>
      <c r="D9" s="47" t="s">
        <v>36</v>
      </c>
      <c r="E9" s="48" t="n">
        <v>2</v>
      </c>
      <c r="F9" s="47" t="n">
        <v>17.68</v>
      </c>
      <c r="G9" s="49"/>
      <c r="H9" s="49" t="n">
        <v>35.36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customFormat="false" ht="15" hidden="false" customHeight="false" outlineLevel="0" collapsed="false">
      <c r="A10" s="45" t="n">
        <v>37370</v>
      </c>
      <c r="B10" s="46" t="s">
        <v>39</v>
      </c>
      <c r="C10" s="47" t="s">
        <v>40</v>
      </c>
      <c r="D10" s="47" t="s">
        <v>36</v>
      </c>
      <c r="E10" s="48" t="n">
        <v>6</v>
      </c>
      <c r="F10" s="47" t="n">
        <v>2.11</v>
      </c>
      <c r="G10" s="49" t="n">
        <v>12.66</v>
      </c>
      <c r="H10" s="4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customFormat="false" ht="15" hidden="false" customHeight="false" outlineLevel="0" collapsed="false">
      <c r="A11" s="45" t="n">
        <v>37371</v>
      </c>
      <c r="B11" s="46" t="s">
        <v>41</v>
      </c>
      <c r="C11" s="47" t="s">
        <v>40</v>
      </c>
      <c r="D11" s="47" t="s">
        <v>36</v>
      </c>
      <c r="E11" s="48" t="n">
        <v>6</v>
      </c>
      <c r="F11" s="47" t="n">
        <v>0.75</v>
      </c>
      <c r="G11" s="49" t="n">
        <v>4.5</v>
      </c>
      <c r="H11" s="4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customFormat="false" ht="15" hidden="false" customHeight="false" outlineLevel="0" collapsed="false">
      <c r="A12" s="45" t="n">
        <v>37372</v>
      </c>
      <c r="B12" s="46" t="s">
        <v>42</v>
      </c>
      <c r="C12" s="47" t="s">
        <v>40</v>
      </c>
      <c r="D12" s="47" t="s">
        <v>36</v>
      </c>
      <c r="E12" s="48" t="n">
        <v>6</v>
      </c>
      <c r="F12" s="47" t="n">
        <v>0.81</v>
      </c>
      <c r="G12" s="49" t="n">
        <v>4.86</v>
      </c>
      <c r="H12" s="4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customFormat="false" ht="15" hidden="false" customHeight="false" outlineLevel="0" collapsed="false">
      <c r="A13" s="45" t="n">
        <v>37373</v>
      </c>
      <c r="B13" s="46" t="s">
        <v>43</v>
      </c>
      <c r="C13" s="47" t="s">
        <v>40</v>
      </c>
      <c r="D13" s="47" t="s">
        <v>36</v>
      </c>
      <c r="E13" s="48" t="n">
        <v>6</v>
      </c>
      <c r="F13" s="47" t="n">
        <v>0.06</v>
      </c>
      <c r="G13" s="49" t="n">
        <v>0.36</v>
      </c>
      <c r="H13" s="4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customFormat="false" ht="21" hidden="false" customHeight="false" outlineLevel="0" collapsed="false">
      <c r="A14" s="45" t="n">
        <v>43460</v>
      </c>
      <c r="B14" s="46" t="s">
        <v>44</v>
      </c>
      <c r="C14" s="47" t="s">
        <v>40</v>
      </c>
      <c r="D14" s="47" t="s">
        <v>36</v>
      </c>
      <c r="E14" s="48" t="n">
        <v>4</v>
      </c>
      <c r="F14" s="47" t="n">
        <v>0.78</v>
      </c>
      <c r="G14" s="49" t="n">
        <v>3.12</v>
      </c>
      <c r="H14" s="4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customFormat="false" ht="21" hidden="false" customHeight="false" outlineLevel="0" collapsed="false">
      <c r="A15" s="45" t="n">
        <v>43461</v>
      </c>
      <c r="B15" s="46" t="s">
        <v>45</v>
      </c>
      <c r="C15" s="47" t="s">
        <v>40</v>
      </c>
      <c r="D15" s="47" t="s">
        <v>36</v>
      </c>
      <c r="E15" s="48" t="n">
        <v>2</v>
      </c>
      <c r="F15" s="47" t="n">
        <v>0.32</v>
      </c>
      <c r="G15" s="49" t="n">
        <v>0.64</v>
      </c>
      <c r="H15" s="49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customFormat="false" ht="21" hidden="false" customHeight="false" outlineLevel="0" collapsed="false">
      <c r="A16" s="45" t="n">
        <v>43484</v>
      </c>
      <c r="B16" s="46" t="s">
        <v>46</v>
      </c>
      <c r="C16" s="47" t="s">
        <v>40</v>
      </c>
      <c r="D16" s="47" t="s">
        <v>36</v>
      </c>
      <c r="E16" s="48" t="n">
        <v>4</v>
      </c>
      <c r="F16" s="47" t="n">
        <v>1.07</v>
      </c>
      <c r="G16" s="49" t="n">
        <v>4.28</v>
      </c>
      <c r="H16" s="49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customFormat="false" ht="21" hidden="false" customHeight="false" outlineLevel="0" collapsed="false">
      <c r="A17" s="45" t="n">
        <v>43485</v>
      </c>
      <c r="B17" s="46" t="s">
        <v>47</v>
      </c>
      <c r="C17" s="47" t="s">
        <v>40</v>
      </c>
      <c r="D17" s="47" t="s">
        <v>36</v>
      </c>
      <c r="E17" s="48" t="n">
        <v>2</v>
      </c>
      <c r="F17" s="47" t="n">
        <v>0.94</v>
      </c>
      <c r="G17" s="49" t="n">
        <v>1.88</v>
      </c>
      <c r="H17" s="49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customFormat="false" ht="31.5" hidden="false" customHeight="false" outlineLevel="0" collapsed="false">
      <c r="A18" s="45" t="n">
        <v>746</v>
      </c>
      <c r="B18" s="46" t="s">
        <v>48</v>
      </c>
      <c r="C18" s="47" t="s">
        <v>40</v>
      </c>
      <c r="D18" s="47" t="s">
        <v>49</v>
      </c>
      <c r="E18" s="48" t="n">
        <v>0.002</v>
      </c>
      <c r="F18" s="47" t="n">
        <v>2640</v>
      </c>
      <c r="G18" s="49" t="n">
        <v>5.28</v>
      </c>
      <c r="H18" s="4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customFormat="false" ht="15" hidden="false" customHeight="false" outlineLevel="0" collapsed="false">
      <c r="A19" s="45" t="s">
        <v>50</v>
      </c>
      <c r="B19" s="46" t="s">
        <v>51</v>
      </c>
      <c r="C19" s="47" t="s">
        <v>40</v>
      </c>
      <c r="D19" s="47" t="s">
        <v>49</v>
      </c>
      <c r="E19" s="48" t="n">
        <v>0.1</v>
      </c>
      <c r="F19" s="47" t="n">
        <v>17.96</v>
      </c>
      <c r="G19" s="49" t="n">
        <v>1.8</v>
      </c>
      <c r="H19" s="49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customFormat="false" ht="15" hidden="false" customHeight="false" outlineLevel="0" collapsed="false">
      <c r="A20" s="45" t="s">
        <v>52</v>
      </c>
      <c r="B20" s="46" t="s">
        <v>53</v>
      </c>
      <c r="C20" s="47" t="s">
        <v>40</v>
      </c>
      <c r="D20" s="47" t="s">
        <v>54</v>
      </c>
      <c r="E20" s="48" t="n">
        <v>0.5</v>
      </c>
      <c r="F20" s="47" t="n">
        <v>66.57</v>
      </c>
      <c r="G20" s="49" t="n">
        <v>33.29</v>
      </c>
      <c r="H20" s="49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customFormat="false" ht="21" hidden="false" customHeight="false" outlineLevel="0" collapsed="false">
      <c r="A21" s="45" t="s">
        <v>55</v>
      </c>
      <c r="B21" s="46" t="s">
        <v>56</v>
      </c>
      <c r="C21" s="47" t="s">
        <v>40</v>
      </c>
      <c r="D21" s="47" t="s">
        <v>49</v>
      </c>
      <c r="E21" s="48" t="n">
        <v>0.002</v>
      </c>
      <c r="F21" s="47" t="n">
        <v>780.37</v>
      </c>
      <c r="G21" s="49" t="n">
        <v>1.56</v>
      </c>
      <c r="H21" s="4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customFormat="false" ht="15" hidden="false" customHeight="false" outlineLevel="0" collapsed="false">
      <c r="A22" s="50"/>
      <c r="B22" s="51"/>
      <c r="C22" s="52"/>
      <c r="D22" s="52"/>
      <c r="E22" s="53"/>
      <c r="F22" s="52"/>
      <c r="G22" s="54"/>
      <c r="H22" s="5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customFormat="false" ht="31.5" hidden="false" customHeight="false" outlineLevel="0" collapsed="false">
      <c r="A23" s="40" t="s">
        <v>14</v>
      </c>
      <c r="B23" s="41" t="s">
        <v>57</v>
      </c>
      <c r="C23" s="40" t="s">
        <v>32</v>
      </c>
      <c r="D23" s="42" t="s">
        <v>33</v>
      </c>
      <c r="E23" s="43" t="n">
        <v>180</v>
      </c>
      <c r="F23" s="44" t="n">
        <f aca="false">G23+H23</f>
        <v>233.966925</v>
      </c>
      <c r="G23" s="44" t="n">
        <f aca="false">SUMPRODUCT(E27:E38,F27:F38)</f>
        <v>117.291925</v>
      </c>
      <c r="H23" s="44" t="n">
        <f aca="false">SUMPRODUCT(E24:E26,F24:F26)</f>
        <v>116.675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customFormat="false" ht="15" hidden="false" customHeight="false" outlineLevel="0" collapsed="false">
      <c r="A24" s="45" t="n">
        <v>242</v>
      </c>
      <c r="B24" s="46" t="s">
        <v>34</v>
      </c>
      <c r="C24" s="47" t="s">
        <v>35</v>
      </c>
      <c r="D24" s="47" t="s">
        <v>36</v>
      </c>
      <c r="E24" s="48" t="n">
        <v>2.5</v>
      </c>
      <c r="F24" s="47" t="n">
        <v>11.26</v>
      </c>
      <c r="G24" s="49"/>
      <c r="H24" s="49" t="n">
        <v>28.15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customFormat="false" ht="15" hidden="false" customHeight="false" outlineLevel="0" collapsed="false">
      <c r="A25" s="45" t="n">
        <v>2436</v>
      </c>
      <c r="B25" s="46" t="s">
        <v>37</v>
      </c>
      <c r="C25" s="47" t="s">
        <v>35</v>
      </c>
      <c r="D25" s="47" t="s">
        <v>36</v>
      </c>
      <c r="E25" s="48" t="n">
        <v>2.5</v>
      </c>
      <c r="F25" s="47" t="n">
        <v>17.73</v>
      </c>
      <c r="G25" s="49"/>
      <c r="H25" s="49" t="n">
        <v>44.33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customFormat="false" ht="15" hidden="false" customHeight="false" outlineLevel="0" collapsed="false">
      <c r="A26" s="45" t="n">
        <v>34794</v>
      </c>
      <c r="B26" s="46" t="s">
        <v>38</v>
      </c>
      <c r="C26" s="47" t="s">
        <v>35</v>
      </c>
      <c r="D26" s="47" t="s">
        <v>36</v>
      </c>
      <c r="E26" s="48" t="n">
        <v>2.5</v>
      </c>
      <c r="F26" s="47" t="n">
        <v>17.68</v>
      </c>
      <c r="G26" s="49"/>
      <c r="H26" s="49" t="n">
        <v>44.2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customFormat="false" ht="15" hidden="false" customHeight="false" outlineLevel="0" collapsed="false">
      <c r="A27" s="45" t="n">
        <v>37370</v>
      </c>
      <c r="B27" s="46" t="s">
        <v>39</v>
      </c>
      <c r="C27" s="47" t="s">
        <v>40</v>
      </c>
      <c r="D27" s="47" t="s">
        <v>36</v>
      </c>
      <c r="E27" s="48" t="n">
        <v>7.5</v>
      </c>
      <c r="F27" s="47" t="n">
        <v>2.11</v>
      </c>
      <c r="G27" s="49" t="n">
        <v>15.83</v>
      </c>
      <c r="H27" s="49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customFormat="false" ht="15" hidden="false" customHeight="false" outlineLevel="0" collapsed="false">
      <c r="A28" s="45" t="n">
        <v>37371</v>
      </c>
      <c r="B28" s="46" t="s">
        <v>41</v>
      </c>
      <c r="C28" s="47" t="s">
        <v>40</v>
      </c>
      <c r="D28" s="47" t="s">
        <v>36</v>
      </c>
      <c r="E28" s="48" t="n">
        <v>7.5</v>
      </c>
      <c r="F28" s="47" t="n">
        <v>0.75</v>
      </c>
      <c r="G28" s="49" t="n">
        <v>5.63</v>
      </c>
      <c r="H28" s="49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customFormat="false" ht="15" hidden="false" customHeight="false" outlineLevel="0" collapsed="false">
      <c r="A29" s="45" t="n">
        <v>37372</v>
      </c>
      <c r="B29" s="46" t="s">
        <v>42</v>
      </c>
      <c r="C29" s="47" t="s">
        <v>40</v>
      </c>
      <c r="D29" s="47" t="s">
        <v>36</v>
      </c>
      <c r="E29" s="48" t="n">
        <v>7.5</v>
      </c>
      <c r="F29" s="47" t="n">
        <v>0.81</v>
      </c>
      <c r="G29" s="49" t="n">
        <v>6.08</v>
      </c>
      <c r="H29" s="49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customFormat="false" ht="15" hidden="false" customHeight="false" outlineLevel="0" collapsed="false">
      <c r="A30" s="45" t="n">
        <v>37373</v>
      </c>
      <c r="B30" s="46" t="s">
        <v>43</v>
      </c>
      <c r="C30" s="47" t="s">
        <v>40</v>
      </c>
      <c r="D30" s="47" t="s">
        <v>36</v>
      </c>
      <c r="E30" s="48" t="n">
        <v>7.5</v>
      </c>
      <c r="F30" s="47" t="n">
        <v>0.06</v>
      </c>
      <c r="G30" s="49" t="n">
        <v>0.45</v>
      </c>
      <c r="H30" s="4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customFormat="false" ht="21" hidden="false" customHeight="false" outlineLevel="0" collapsed="false">
      <c r="A31" s="45" t="n">
        <v>43460</v>
      </c>
      <c r="B31" s="46" t="s">
        <v>44</v>
      </c>
      <c r="C31" s="47" t="s">
        <v>40</v>
      </c>
      <c r="D31" s="47" t="s">
        <v>36</v>
      </c>
      <c r="E31" s="48" t="n">
        <v>5</v>
      </c>
      <c r="F31" s="47" t="n">
        <v>0.78</v>
      </c>
      <c r="G31" s="49" t="n">
        <v>3.9</v>
      </c>
      <c r="H31" s="49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customFormat="false" ht="21" hidden="false" customHeight="false" outlineLevel="0" collapsed="false">
      <c r="A32" s="45" t="n">
        <v>43461</v>
      </c>
      <c r="B32" s="46" t="s">
        <v>45</v>
      </c>
      <c r="C32" s="47" t="s">
        <v>40</v>
      </c>
      <c r="D32" s="47" t="s">
        <v>36</v>
      </c>
      <c r="E32" s="48" t="n">
        <v>2.5</v>
      </c>
      <c r="F32" s="47" t="n">
        <v>0.32</v>
      </c>
      <c r="G32" s="49" t="n">
        <v>0.8</v>
      </c>
      <c r="H32" s="49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customFormat="false" ht="21" hidden="false" customHeight="false" outlineLevel="0" collapsed="false">
      <c r="A33" s="45" t="n">
        <v>43484</v>
      </c>
      <c r="B33" s="46" t="s">
        <v>46</v>
      </c>
      <c r="C33" s="47" t="s">
        <v>40</v>
      </c>
      <c r="D33" s="47" t="s">
        <v>36</v>
      </c>
      <c r="E33" s="48" t="n">
        <v>5</v>
      </c>
      <c r="F33" s="47" t="n">
        <v>1.07</v>
      </c>
      <c r="G33" s="49" t="n">
        <v>5.35</v>
      </c>
      <c r="H33" s="49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customFormat="false" ht="21" hidden="false" customHeight="false" outlineLevel="0" collapsed="false">
      <c r="A34" s="45" t="n">
        <v>43485</v>
      </c>
      <c r="B34" s="46" t="s">
        <v>47</v>
      </c>
      <c r="C34" s="47" t="s">
        <v>40</v>
      </c>
      <c r="D34" s="47" t="s">
        <v>36</v>
      </c>
      <c r="E34" s="48" t="n">
        <v>2.5</v>
      </c>
      <c r="F34" s="47" t="n">
        <v>0.94</v>
      </c>
      <c r="G34" s="49" t="n">
        <v>2.35</v>
      </c>
      <c r="H34" s="49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customFormat="false" ht="31.5" hidden="false" customHeight="false" outlineLevel="0" collapsed="false">
      <c r="A35" s="45" t="n">
        <v>746</v>
      </c>
      <c r="B35" s="46" t="s">
        <v>48</v>
      </c>
      <c r="C35" s="47" t="s">
        <v>40</v>
      </c>
      <c r="D35" s="47" t="s">
        <v>49</v>
      </c>
      <c r="E35" s="48" t="n">
        <v>0.0025</v>
      </c>
      <c r="F35" s="47" t="n">
        <v>2640</v>
      </c>
      <c r="G35" s="49" t="n">
        <v>6.6</v>
      </c>
      <c r="H35" s="49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customFormat="false" ht="15" hidden="false" customHeight="false" outlineLevel="0" collapsed="false">
      <c r="A36" s="45" t="s">
        <v>50</v>
      </c>
      <c r="B36" s="46" t="s">
        <v>51</v>
      </c>
      <c r="C36" s="47" t="s">
        <v>40</v>
      </c>
      <c r="D36" s="47" t="s">
        <v>49</v>
      </c>
      <c r="E36" s="48" t="n">
        <v>0.1</v>
      </c>
      <c r="F36" s="47" t="n">
        <v>17.96</v>
      </c>
      <c r="G36" s="49" t="n">
        <v>1.8</v>
      </c>
      <c r="H36" s="49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customFormat="false" ht="15" hidden="false" customHeight="false" outlineLevel="0" collapsed="false">
      <c r="A37" s="45" t="s">
        <v>52</v>
      </c>
      <c r="B37" s="46" t="s">
        <v>53</v>
      </c>
      <c r="C37" s="47" t="s">
        <v>40</v>
      </c>
      <c r="D37" s="47" t="s">
        <v>54</v>
      </c>
      <c r="E37" s="48" t="n">
        <v>1</v>
      </c>
      <c r="F37" s="47" t="n">
        <v>66.57</v>
      </c>
      <c r="G37" s="49" t="n">
        <v>66.57</v>
      </c>
      <c r="H37" s="49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customFormat="false" ht="21" hidden="false" customHeight="false" outlineLevel="0" collapsed="false">
      <c r="A38" s="45" t="s">
        <v>55</v>
      </c>
      <c r="B38" s="46" t="s">
        <v>56</v>
      </c>
      <c r="C38" s="47" t="s">
        <v>40</v>
      </c>
      <c r="D38" s="47" t="s">
        <v>49</v>
      </c>
      <c r="E38" s="48" t="n">
        <v>0.0025</v>
      </c>
      <c r="F38" s="47" t="n">
        <v>780.37</v>
      </c>
      <c r="G38" s="49" t="n">
        <v>1.95</v>
      </c>
      <c r="H38" s="49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customFormat="false" ht="15" hidden="false" customHeight="false" outlineLevel="0" collapsed="false">
      <c r="A39" s="55"/>
      <c r="B39" s="56"/>
      <c r="C39" s="57"/>
      <c r="D39" s="57"/>
      <c r="E39" s="58"/>
      <c r="F39" s="57"/>
      <c r="G39" s="59"/>
      <c r="H39" s="59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customFormat="false" ht="21" hidden="true" customHeight="false" outlineLevel="0" collapsed="false">
      <c r="A40" s="60" t="s">
        <v>15</v>
      </c>
      <c r="B40" s="61" t="s">
        <v>58</v>
      </c>
      <c r="C40" s="60" t="s">
        <v>32</v>
      </c>
      <c r="D40" s="62" t="s">
        <v>33</v>
      </c>
      <c r="E40" s="63" t="n">
        <v>0</v>
      </c>
      <c r="F40" s="64" t="n">
        <f aca="false">G40+H40</f>
        <v>267.08711</v>
      </c>
      <c r="G40" s="64" t="n">
        <f aca="false">SUMPRODUCT(E44:E55,F44:F55)</f>
        <v>127.07711</v>
      </c>
      <c r="H40" s="64" t="n">
        <f aca="false">SUMPRODUCT(E41:E43,F41:F43)</f>
        <v>140.01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customFormat="false" ht="15" hidden="true" customHeight="false" outlineLevel="0" collapsed="false">
      <c r="A41" s="65" t="n">
        <v>242</v>
      </c>
      <c r="B41" s="66" t="s">
        <v>34</v>
      </c>
      <c r="C41" s="67" t="s">
        <v>35</v>
      </c>
      <c r="D41" s="67" t="s">
        <v>36</v>
      </c>
      <c r="E41" s="68" t="n">
        <v>3</v>
      </c>
      <c r="F41" s="67" t="n">
        <v>11.26</v>
      </c>
      <c r="G41" s="69"/>
      <c r="H41" s="69" t="n">
        <v>33.78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customFormat="false" ht="15" hidden="true" customHeight="false" outlineLevel="0" collapsed="false">
      <c r="A42" s="65" t="n">
        <v>2436</v>
      </c>
      <c r="B42" s="66" t="s">
        <v>37</v>
      </c>
      <c r="C42" s="67" t="s">
        <v>35</v>
      </c>
      <c r="D42" s="67" t="s">
        <v>36</v>
      </c>
      <c r="E42" s="68" t="n">
        <v>3</v>
      </c>
      <c r="F42" s="67" t="n">
        <v>17.73</v>
      </c>
      <c r="G42" s="69"/>
      <c r="H42" s="69" t="n">
        <v>53.19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customFormat="false" ht="15" hidden="true" customHeight="false" outlineLevel="0" collapsed="false">
      <c r="A43" s="65" t="n">
        <v>34794</v>
      </c>
      <c r="B43" s="66" t="s">
        <v>38</v>
      </c>
      <c r="C43" s="67" t="s">
        <v>35</v>
      </c>
      <c r="D43" s="67" t="s">
        <v>36</v>
      </c>
      <c r="E43" s="68" t="n">
        <v>3</v>
      </c>
      <c r="F43" s="67" t="n">
        <v>17.68</v>
      </c>
      <c r="G43" s="69"/>
      <c r="H43" s="69" t="n">
        <v>53.04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customFormat="false" ht="15" hidden="true" customHeight="false" outlineLevel="0" collapsed="false">
      <c r="A44" s="65" t="n">
        <v>37370</v>
      </c>
      <c r="B44" s="66" t="s">
        <v>39</v>
      </c>
      <c r="C44" s="67" t="s">
        <v>40</v>
      </c>
      <c r="D44" s="67" t="s">
        <v>36</v>
      </c>
      <c r="E44" s="68" t="n">
        <v>9</v>
      </c>
      <c r="F44" s="67" t="n">
        <v>2.11</v>
      </c>
      <c r="G44" s="69" t="n">
        <v>18.99</v>
      </c>
      <c r="H44" s="69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customFormat="false" ht="15" hidden="true" customHeight="false" outlineLevel="0" collapsed="false">
      <c r="A45" s="65" t="n">
        <v>37371</v>
      </c>
      <c r="B45" s="66" t="s">
        <v>41</v>
      </c>
      <c r="C45" s="67" t="s">
        <v>40</v>
      </c>
      <c r="D45" s="67" t="s">
        <v>36</v>
      </c>
      <c r="E45" s="68" t="n">
        <v>9</v>
      </c>
      <c r="F45" s="67" t="n">
        <v>0.75</v>
      </c>
      <c r="G45" s="69" t="n">
        <v>6.75</v>
      </c>
      <c r="H45" s="69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customFormat="false" ht="15" hidden="true" customHeight="false" outlineLevel="0" collapsed="false">
      <c r="A46" s="65" t="n">
        <v>37372</v>
      </c>
      <c r="B46" s="66" t="s">
        <v>42</v>
      </c>
      <c r="C46" s="67" t="s">
        <v>40</v>
      </c>
      <c r="D46" s="67" t="s">
        <v>36</v>
      </c>
      <c r="E46" s="68" t="n">
        <v>9</v>
      </c>
      <c r="F46" s="67" t="n">
        <v>0.81</v>
      </c>
      <c r="G46" s="69" t="n">
        <v>7.29</v>
      </c>
      <c r="H46" s="69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customFormat="false" ht="15" hidden="true" customHeight="false" outlineLevel="0" collapsed="false">
      <c r="A47" s="65" t="n">
        <v>37373</v>
      </c>
      <c r="B47" s="66" t="s">
        <v>43</v>
      </c>
      <c r="C47" s="67" t="s">
        <v>40</v>
      </c>
      <c r="D47" s="67" t="s">
        <v>36</v>
      </c>
      <c r="E47" s="68" t="n">
        <v>9</v>
      </c>
      <c r="F47" s="67" t="n">
        <v>0.06</v>
      </c>
      <c r="G47" s="69" t="n">
        <v>0.54</v>
      </c>
      <c r="H47" s="69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customFormat="false" ht="21" hidden="true" customHeight="false" outlineLevel="0" collapsed="false">
      <c r="A48" s="65" t="n">
        <v>43460</v>
      </c>
      <c r="B48" s="66" t="s">
        <v>44</v>
      </c>
      <c r="C48" s="67" t="s">
        <v>40</v>
      </c>
      <c r="D48" s="67" t="s">
        <v>36</v>
      </c>
      <c r="E48" s="68" t="n">
        <v>6</v>
      </c>
      <c r="F48" s="67" t="n">
        <v>0.78</v>
      </c>
      <c r="G48" s="69" t="n">
        <v>4.68</v>
      </c>
      <c r="H48" s="69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customFormat="false" ht="21" hidden="true" customHeight="false" outlineLevel="0" collapsed="false">
      <c r="A49" s="65" t="n">
        <v>43461</v>
      </c>
      <c r="B49" s="66" t="s">
        <v>45</v>
      </c>
      <c r="C49" s="67" t="s">
        <v>40</v>
      </c>
      <c r="D49" s="67" t="s">
        <v>36</v>
      </c>
      <c r="E49" s="68" t="n">
        <v>3</v>
      </c>
      <c r="F49" s="67" t="n">
        <v>0.32</v>
      </c>
      <c r="G49" s="69" t="n">
        <v>0.96</v>
      </c>
      <c r="H49" s="69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customFormat="false" ht="21" hidden="true" customHeight="false" outlineLevel="0" collapsed="false">
      <c r="A50" s="65" t="n">
        <v>43484</v>
      </c>
      <c r="B50" s="66" t="s">
        <v>46</v>
      </c>
      <c r="C50" s="67" t="s">
        <v>40</v>
      </c>
      <c r="D50" s="67" t="s">
        <v>36</v>
      </c>
      <c r="E50" s="68" t="n">
        <v>6</v>
      </c>
      <c r="F50" s="67" t="n">
        <v>1.07</v>
      </c>
      <c r="G50" s="69" t="n">
        <v>6.42</v>
      </c>
      <c r="H50" s="69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customFormat="false" ht="21" hidden="true" customHeight="false" outlineLevel="0" collapsed="false">
      <c r="A51" s="65" t="n">
        <v>43485</v>
      </c>
      <c r="B51" s="66" t="s">
        <v>47</v>
      </c>
      <c r="C51" s="67" t="s">
        <v>40</v>
      </c>
      <c r="D51" s="67" t="s">
        <v>36</v>
      </c>
      <c r="E51" s="68" t="n">
        <v>3</v>
      </c>
      <c r="F51" s="67" t="n">
        <v>0.94</v>
      </c>
      <c r="G51" s="69" t="n">
        <v>2.82</v>
      </c>
      <c r="H51" s="69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customFormat="false" ht="31.5" hidden="true" customHeight="false" outlineLevel="0" collapsed="false">
      <c r="A52" s="65" t="n">
        <v>746</v>
      </c>
      <c r="B52" s="66" t="s">
        <v>48</v>
      </c>
      <c r="C52" s="67" t="s">
        <v>40</v>
      </c>
      <c r="D52" s="67" t="s">
        <v>49</v>
      </c>
      <c r="E52" s="68" t="n">
        <v>0.003</v>
      </c>
      <c r="F52" s="67" t="n">
        <v>2640</v>
      </c>
      <c r="G52" s="69" t="n">
        <v>7.92</v>
      </c>
      <c r="H52" s="69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customFormat="false" ht="15" hidden="true" customHeight="false" outlineLevel="0" collapsed="false">
      <c r="A53" s="65" t="s">
        <v>50</v>
      </c>
      <c r="B53" s="66" t="s">
        <v>51</v>
      </c>
      <c r="C53" s="67" t="s">
        <v>40</v>
      </c>
      <c r="D53" s="67" t="s">
        <v>49</v>
      </c>
      <c r="E53" s="68" t="n">
        <v>0.1</v>
      </c>
      <c r="F53" s="67" t="n">
        <v>17.96</v>
      </c>
      <c r="G53" s="69" t="n">
        <v>1.8</v>
      </c>
      <c r="H53" s="69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customFormat="false" ht="15" hidden="true" customHeight="false" outlineLevel="0" collapsed="false">
      <c r="A54" s="65" t="s">
        <v>52</v>
      </c>
      <c r="B54" s="66" t="s">
        <v>53</v>
      </c>
      <c r="C54" s="67" t="s">
        <v>40</v>
      </c>
      <c r="D54" s="67" t="s">
        <v>54</v>
      </c>
      <c r="E54" s="68" t="n">
        <v>1</v>
      </c>
      <c r="F54" s="67" t="n">
        <v>66.57</v>
      </c>
      <c r="G54" s="69" t="n">
        <v>66.57</v>
      </c>
      <c r="H54" s="69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customFormat="false" ht="21" hidden="true" customHeight="false" outlineLevel="0" collapsed="false">
      <c r="A55" s="65" t="s">
        <v>55</v>
      </c>
      <c r="B55" s="66" t="s">
        <v>56</v>
      </c>
      <c r="C55" s="67" t="s">
        <v>40</v>
      </c>
      <c r="D55" s="67" t="s">
        <v>49</v>
      </c>
      <c r="E55" s="68" t="n">
        <v>0.003</v>
      </c>
      <c r="F55" s="67" t="n">
        <v>780.37</v>
      </c>
      <c r="G55" s="69" t="n">
        <v>2.34</v>
      </c>
      <c r="H55" s="69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customFormat="false" ht="15" hidden="true" customHeight="false" outlineLevel="0" collapsed="false">
      <c r="A56" s="65"/>
      <c r="B56" s="66"/>
      <c r="C56" s="67"/>
      <c r="D56" s="67"/>
      <c r="E56" s="68"/>
      <c r="F56" s="67"/>
      <c r="G56" s="69"/>
      <c r="H56" s="69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customFormat="false" ht="21" hidden="true" customHeight="false" outlineLevel="0" collapsed="false">
      <c r="A57" s="60" t="s">
        <v>16</v>
      </c>
      <c r="B57" s="61" t="s">
        <v>59</v>
      </c>
      <c r="C57" s="60" t="s">
        <v>32</v>
      </c>
      <c r="D57" s="62" t="s">
        <v>33</v>
      </c>
      <c r="E57" s="63" t="n">
        <v>0</v>
      </c>
      <c r="F57" s="64" t="n">
        <f aca="false">G57+H57</f>
        <v>333.492295</v>
      </c>
      <c r="G57" s="64" t="n">
        <f aca="false">SUMPRODUCT(E61:E72,F61:F72)</f>
        <v>170.147295</v>
      </c>
      <c r="H57" s="64" t="n">
        <f aca="false">SUMPRODUCT(E58:E60,F58:F60)</f>
        <v>163.345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customFormat="false" ht="15" hidden="true" customHeight="false" outlineLevel="0" collapsed="false">
      <c r="A58" s="65" t="n">
        <v>242</v>
      </c>
      <c r="B58" s="66" t="s">
        <v>34</v>
      </c>
      <c r="C58" s="67" t="s">
        <v>35</v>
      </c>
      <c r="D58" s="67" t="s">
        <v>36</v>
      </c>
      <c r="E58" s="68" t="n">
        <v>3.5</v>
      </c>
      <c r="F58" s="67" t="n">
        <v>11.26</v>
      </c>
      <c r="G58" s="69"/>
      <c r="H58" s="69" t="n">
        <v>39.41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customFormat="false" ht="15" hidden="true" customHeight="false" outlineLevel="0" collapsed="false">
      <c r="A59" s="65" t="n">
        <v>2436</v>
      </c>
      <c r="B59" s="66" t="s">
        <v>37</v>
      </c>
      <c r="C59" s="67" t="s">
        <v>35</v>
      </c>
      <c r="D59" s="67" t="s">
        <v>36</v>
      </c>
      <c r="E59" s="68" t="n">
        <v>3.5</v>
      </c>
      <c r="F59" s="67" t="n">
        <v>17.73</v>
      </c>
      <c r="G59" s="69"/>
      <c r="H59" s="69" t="n">
        <v>62.06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customFormat="false" ht="15" hidden="true" customHeight="false" outlineLevel="0" collapsed="false">
      <c r="A60" s="65" t="n">
        <v>34794</v>
      </c>
      <c r="B60" s="66" t="s">
        <v>38</v>
      </c>
      <c r="C60" s="67" t="s">
        <v>35</v>
      </c>
      <c r="D60" s="67" t="s">
        <v>36</v>
      </c>
      <c r="E60" s="68" t="n">
        <v>3.5</v>
      </c>
      <c r="F60" s="67" t="n">
        <v>17.68</v>
      </c>
      <c r="G60" s="69"/>
      <c r="H60" s="69" t="n">
        <v>61.88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customFormat="false" ht="15" hidden="true" customHeight="false" outlineLevel="0" collapsed="false">
      <c r="A61" s="65" t="n">
        <v>37370</v>
      </c>
      <c r="B61" s="66" t="s">
        <v>39</v>
      </c>
      <c r="C61" s="67" t="s">
        <v>40</v>
      </c>
      <c r="D61" s="67" t="s">
        <v>36</v>
      </c>
      <c r="E61" s="68" t="n">
        <v>10.5</v>
      </c>
      <c r="F61" s="67" t="n">
        <v>2.11</v>
      </c>
      <c r="G61" s="69" t="n">
        <v>22.16</v>
      </c>
      <c r="H61" s="69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customFormat="false" ht="15" hidden="true" customHeight="false" outlineLevel="0" collapsed="false">
      <c r="A62" s="65" t="n">
        <v>37371</v>
      </c>
      <c r="B62" s="66" t="s">
        <v>41</v>
      </c>
      <c r="C62" s="67" t="s">
        <v>40</v>
      </c>
      <c r="D62" s="67" t="s">
        <v>36</v>
      </c>
      <c r="E62" s="68" t="n">
        <v>10.5</v>
      </c>
      <c r="F62" s="67" t="n">
        <v>0.75</v>
      </c>
      <c r="G62" s="69" t="n">
        <v>7.88</v>
      </c>
      <c r="H62" s="69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customFormat="false" ht="15" hidden="true" customHeight="false" outlineLevel="0" collapsed="false">
      <c r="A63" s="65" t="n">
        <v>37372</v>
      </c>
      <c r="B63" s="66" t="s">
        <v>42</v>
      </c>
      <c r="C63" s="67" t="s">
        <v>40</v>
      </c>
      <c r="D63" s="67" t="s">
        <v>36</v>
      </c>
      <c r="E63" s="68" t="n">
        <v>10.5</v>
      </c>
      <c r="F63" s="67" t="n">
        <v>0.81</v>
      </c>
      <c r="G63" s="69" t="n">
        <v>8.51</v>
      </c>
      <c r="H63" s="6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customFormat="false" ht="15" hidden="true" customHeight="false" outlineLevel="0" collapsed="false">
      <c r="A64" s="65" t="n">
        <v>37373</v>
      </c>
      <c r="B64" s="66" t="s">
        <v>43</v>
      </c>
      <c r="C64" s="67" t="s">
        <v>40</v>
      </c>
      <c r="D64" s="67" t="s">
        <v>36</v>
      </c>
      <c r="E64" s="68" t="n">
        <v>10.5</v>
      </c>
      <c r="F64" s="67" t="n">
        <v>0.06</v>
      </c>
      <c r="G64" s="69" t="n">
        <v>0.63</v>
      </c>
      <c r="H64" s="69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customFormat="false" ht="21" hidden="true" customHeight="false" outlineLevel="0" collapsed="false">
      <c r="A65" s="65" t="n">
        <v>43460</v>
      </c>
      <c r="B65" s="66" t="s">
        <v>44</v>
      </c>
      <c r="C65" s="67" t="s">
        <v>40</v>
      </c>
      <c r="D65" s="67" t="s">
        <v>36</v>
      </c>
      <c r="E65" s="68" t="n">
        <v>7</v>
      </c>
      <c r="F65" s="67" t="n">
        <v>0.78</v>
      </c>
      <c r="G65" s="69" t="n">
        <v>5.46</v>
      </c>
      <c r="H65" s="69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customFormat="false" ht="21" hidden="true" customHeight="false" outlineLevel="0" collapsed="false">
      <c r="A66" s="65" t="n">
        <v>43461</v>
      </c>
      <c r="B66" s="66" t="s">
        <v>45</v>
      </c>
      <c r="C66" s="67" t="s">
        <v>40</v>
      </c>
      <c r="D66" s="67" t="s">
        <v>36</v>
      </c>
      <c r="E66" s="68" t="n">
        <v>3.5</v>
      </c>
      <c r="F66" s="67" t="n">
        <v>0.32</v>
      </c>
      <c r="G66" s="69" t="n">
        <v>1.12</v>
      </c>
      <c r="H66" s="69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customFormat="false" ht="21" hidden="true" customHeight="false" outlineLevel="0" collapsed="false">
      <c r="A67" s="65" t="n">
        <v>43484</v>
      </c>
      <c r="B67" s="66" t="s">
        <v>46</v>
      </c>
      <c r="C67" s="67" t="s">
        <v>40</v>
      </c>
      <c r="D67" s="67" t="s">
        <v>36</v>
      </c>
      <c r="E67" s="68" t="n">
        <v>7</v>
      </c>
      <c r="F67" s="67" t="n">
        <v>1.07</v>
      </c>
      <c r="G67" s="69" t="n">
        <v>7.49</v>
      </c>
      <c r="H67" s="69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customFormat="false" ht="21" hidden="true" customHeight="false" outlineLevel="0" collapsed="false">
      <c r="A68" s="65" t="n">
        <v>43485</v>
      </c>
      <c r="B68" s="66" t="s">
        <v>47</v>
      </c>
      <c r="C68" s="67" t="s">
        <v>40</v>
      </c>
      <c r="D68" s="67" t="s">
        <v>36</v>
      </c>
      <c r="E68" s="68" t="n">
        <v>3.5</v>
      </c>
      <c r="F68" s="67" t="n">
        <v>0.94</v>
      </c>
      <c r="G68" s="69" t="n">
        <v>3.29</v>
      </c>
      <c r="H68" s="69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customFormat="false" ht="31.5" hidden="true" customHeight="false" outlineLevel="0" collapsed="false">
      <c r="A69" s="65" t="n">
        <v>746</v>
      </c>
      <c r="B69" s="66" t="s">
        <v>48</v>
      </c>
      <c r="C69" s="67" t="s">
        <v>40</v>
      </c>
      <c r="D69" s="67" t="s">
        <v>49</v>
      </c>
      <c r="E69" s="68" t="n">
        <v>0.0035</v>
      </c>
      <c r="F69" s="67" t="n">
        <v>2640</v>
      </c>
      <c r="G69" s="69" t="n">
        <v>9.24</v>
      </c>
      <c r="H69" s="69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customFormat="false" ht="15" hidden="true" customHeight="false" outlineLevel="0" collapsed="false">
      <c r="A70" s="65" t="s">
        <v>50</v>
      </c>
      <c r="B70" s="66" t="s">
        <v>51</v>
      </c>
      <c r="C70" s="67" t="s">
        <v>40</v>
      </c>
      <c r="D70" s="67" t="s">
        <v>49</v>
      </c>
      <c r="E70" s="68" t="n">
        <v>0.1</v>
      </c>
      <c r="F70" s="67" t="n">
        <v>17.96</v>
      </c>
      <c r="G70" s="69" t="n">
        <v>1.8</v>
      </c>
      <c r="H70" s="69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customFormat="false" ht="15" hidden="true" customHeight="false" outlineLevel="0" collapsed="false">
      <c r="A71" s="65" t="s">
        <v>52</v>
      </c>
      <c r="B71" s="66" t="s">
        <v>53</v>
      </c>
      <c r="C71" s="67" t="s">
        <v>40</v>
      </c>
      <c r="D71" s="67" t="s">
        <v>54</v>
      </c>
      <c r="E71" s="68" t="n">
        <v>1.5</v>
      </c>
      <c r="F71" s="67" t="n">
        <v>66.57</v>
      </c>
      <c r="G71" s="69" t="n">
        <v>99.86</v>
      </c>
      <c r="H71" s="69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customFormat="false" ht="21" hidden="true" customHeight="false" outlineLevel="0" collapsed="false">
      <c r="A72" s="65" t="s">
        <v>55</v>
      </c>
      <c r="B72" s="66" t="s">
        <v>56</v>
      </c>
      <c r="C72" s="67" t="s">
        <v>40</v>
      </c>
      <c r="D72" s="67" t="s">
        <v>49</v>
      </c>
      <c r="E72" s="68" t="n">
        <v>0.0035</v>
      </c>
      <c r="F72" s="67" t="n">
        <v>780.37</v>
      </c>
      <c r="G72" s="69" t="n">
        <v>2.73</v>
      </c>
      <c r="H72" s="69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customFormat="false" ht="15" hidden="true" customHeight="false" outlineLevel="0" collapsed="false">
      <c r="A73" s="70"/>
      <c r="B73" s="71"/>
      <c r="C73" s="72"/>
      <c r="D73" s="72"/>
      <c r="E73" s="73"/>
      <c r="F73" s="72"/>
      <c r="G73" s="74"/>
      <c r="H73" s="7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customFormat="false" ht="73.5" hidden="false" customHeight="false" outlineLevel="0" collapsed="false">
      <c r="A74" s="40" t="s">
        <v>17</v>
      </c>
      <c r="B74" s="41" t="s">
        <v>60</v>
      </c>
      <c r="C74" s="40" t="s">
        <v>32</v>
      </c>
      <c r="D74" s="42" t="s">
        <v>49</v>
      </c>
      <c r="E74" s="43" t="n">
        <v>8</v>
      </c>
      <c r="F74" s="44" t="n">
        <f aca="false">G74+H74</f>
        <v>967.1383</v>
      </c>
      <c r="G74" s="44" t="n">
        <f aca="false">SUMPRODUCT(E82:E108,F82:F108)</f>
        <v>761.5833</v>
      </c>
      <c r="H74" s="44" t="n">
        <f aca="false">SUMPRODUCT(E75:E81,F75:F81)</f>
        <v>205.555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customFormat="false" ht="15" hidden="false" customHeight="false" outlineLevel="0" collapsed="false">
      <c r="A75" s="45" t="n">
        <v>242</v>
      </c>
      <c r="B75" s="46" t="s">
        <v>34</v>
      </c>
      <c r="C75" s="47" t="s">
        <v>35</v>
      </c>
      <c r="D75" s="47" t="s">
        <v>36</v>
      </c>
      <c r="E75" s="48" t="n">
        <v>3.5</v>
      </c>
      <c r="F75" s="47" t="n">
        <v>11.26</v>
      </c>
      <c r="G75" s="49"/>
      <c r="H75" s="49" t="n">
        <v>39.41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customFormat="false" ht="15" hidden="false" customHeight="false" outlineLevel="0" collapsed="false">
      <c r="A76" s="45" t="n">
        <v>2436</v>
      </c>
      <c r="B76" s="46" t="s">
        <v>37</v>
      </c>
      <c r="C76" s="47" t="s">
        <v>35</v>
      </c>
      <c r="D76" s="47" t="s">
        <v>36</v>
      </c>
      <c r="E76" s="48" t="n">
        <v>1.5</v>
      </c>
      <c r="F76" s="47" t="n">
        <v>17.73</v>
      </c>
      <c r="G76" s="49"/>
      <c r="H76" s="49" t="n">
        <v>26.6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customFormat="false" ht="15" hidden="false" customHeight="false" outlineLevel="0" collapsed="false">
      <c r="A77" s="45" t="n">
        <v>246</v>
      </c>
      <c r="B77" s="46" t="s">
        <v>61</v>
      </c>
      <c r="C77" s="47" t="s">
        <v>35</v>
      </c>
      <c r="D77" s="47" t="s">
        <v>36</v>
      </c>
      <c r="E77" s="48" t="n">
        <v>0.7</v>
      </c>
      <c r="F77" s="47" t="n">
        <v>11.52</v>
      </c>
      <c r="G77" s="49"/>
      <c r="H77" s="49" t="n">
        <v>8.06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customFormat="false" ht="15" hidden="false" customHeight="false" outlineLevel="0" collapsed="false">
      <c r="A78" s="45" t="n">
        <v>247</v>
      </c>
      <c r="B78" s="46" t="s">
        <v>62</v>
      </c>
      <c r="C78" s="47" t="s">
        <v>35</v>
      </c>
      <c r="D78" s="47" t="s">
        <v>36</v>
      </c>
      <c r="E78" s="48" t="n">
        <v>1.5</v>
      </c>
      <c r="F78" s="47" t="n">
        <v>11.52</v>
      </c>
      <c r="G78" s="49"/>
      <c r="H78" s="49" t="n">
        <v>17.28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customFormat="false" ht="15" hidden="false" customHeight="false" outlineLevel="0" collapsed="false">
      <c r="A79" s="45" t="n">
        <v>34794</v>
      </c>
      <c r="B79" s="46" t="s">
        <v>38</v>
      </c>
      <c r="C79" s="47" t="s">
        <v>35</v>
      </c>
      <c r="D79" s="47" t="s">
        <v>36</v>
      </c>
      <c r="E79" s="48" t="n">
        <v>3.5</v>
      </c>
      <c r="F79" s="47" t="n">
        <v>17.68</v>
      </c>
      <c r="G79" s="49"/>
      <c r="H79" s="49" t="n">
        <v>61.88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customFormat="false" ht="15" hidden="false" customHeight="false" outlineLevel="0" collapsed="false">
      <c r="A80" s="45" t="n">
        <v>4750</v>
      </c>
      <c r="B80" s="46" t="s">
        <v>63</v>
      </c>
      <c r="C80" s="47" t="s">
        <v>35</v>
      </c>
      <c r="D80" s="47" t="s">
        <v>36</v>
      </c>
      <c r="E80" s="48" t="n">
        <v>1.8</v>
      </c>
      <c r="F80" s="47" t="n">
        <v>17.73</v>
      </c>
      <c r="G80" s="49"/>
      <c r="H80" s="49" t="n">
        <v>31.91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customFormat="false" ht="15" hidden="false" customHeight="false" outlineLevel="0" collapsed="false">
      <c r="A81" s="45" t="n">
        <v>6127</v>
      </c>
      <c r="B81" s="46" t="s">
        <v>64</v>
      </c>
      <c r="C81" s="47" t="s">
        <v>35</v>
      </c>
      <c r="D81" s="47" t="s">
        <v>36</v>
      </c>
      <c r="E81" s="48" t="n">
        <v>1.8</v>
      </c>
      <c r="F81" s="47" t="n">
        <v>11.34</v>
      </c>
      <c r="G81" s="49"/>
      <c r="H81" s="49" t="n">
        <v>20.41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customFormat="false" ht="31.5" hidden="false" customHeight="false" outlineLevel="0" collapsed="false">
      <c r="A82" s="45" t="n">
        <v>1022</v>
      </c>
      <c r="B82" s="46" t="s">
        <v>65</v>
      </c>
      <c r="C82" s="47" t="s">
        <v>40</v>
      </c>
      <c r="D82" s="47" t="s">
        <v>66</v>
      </c>
      <c r="E82" s="48" t="n">
        <v>30</v>
      </c>
      <c r="F82" s="47" t="n">
        <v>3.06</v>
      </c>
      <c r="G82" s="49" t="n">
        <v>91.8</v>
      </c>
      <c r="H82" s="49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customFormat="false" ht="21" hidden="false" customHeight="false" outlineLevel="0" collapsed="false">
      <c r="A83" s="45" t="n">
        <v>11962</v>
      </c>
      <c r="B83" s="46" t="s">
        <v>67</v>
      </c>
      <c r="C83" s="47" t="s">
        <v>40</v>
      </c>
      <c r="D83" s="47" t="s">
        <v>68</v>
      </c>
      <c r="E83" s="48" t="n">
        <v>6</v>
      </c>
      <c r="F83" s="47" t="n">
        <v>0.21</v>
      </c>
      <c r="G83" s="49" t="n">
        <v>1.26</v>
      </c>
      <c r="H83" s="49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customFormat="false" ht="15" hidden="false" customHeight="false" outlineLevel="0" collapsed="false">
      <c r="A84" s="45" t="n">
        <v>12815</v>
      </c>
      <c r="B84" s="46" t="s">
        <v>69</v>
      </c>
      <c r="C84" s="47" t="s">
        <v>40</v>
      </c>
      <c r="D84" s="47" t="s">
        <v>68</v>
      </c>
      <c r="E84" s="48" t="n">
        <v>0.6</v>
      </c>
      <c r="F84" s="47" t="n">
        <v>8.43</v>
      </c>
      <c r="G84" s="49" t="n">
        <v>5.06</v>
      </c>
      <c r="H84" s="49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customFormat="false" ht="21" hidden="false" customHeight="false" outlineLevel="0" collapsed="false">
      <c r="A85" s="45" t="n">
        <v>371</v>
      </c>
      <c r="B85" s="46" t="s">
        <v>70</v>
      </c>
      <c r="C85" s="47" t="s">
        <v>40</v>
      </c>
      <c r="D85" s="47" t="s">
        <v>71</v>
      </c>
      <c r="E85" s="48" t="n">
        <v>6</v>
      </c>
      <c r="F85" s="47" t="n">
        <v>0.71</v>
      </c>
      <c r="G85" s="49" t="n">
        <v>4.26</v>
      </c>
      <c r="H85" s="49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customFormat="false" ht="15" hidden="false" customHeight="false" outlineLevel="0" collapsed="false">
      <c r="A86" s="45" t="n">
        <v>37370</v>
      </c>
      <c r="B86" s="46" t="s">
        <v>39</v>
      </c>
      <c r="C86" s="47" t="s">
        <v>40</v>
      </c>
      <c r="D86" s="47" t="s">
        <v>36</v>
      </c>
      <c r="E86" s="48" t="n">
        <v>14.3</v>
      </c>
      <c r="F86" s="47" t="n">
        <v>2.11</v>
      </c>
      <c r="G86" s="49" t="n">
        <v>30.17</v>
      </c>
      <c r="H86" s="49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customFormat="false" ht="15" hidden="false" customHeight="false" outlineLevel="0" collapsed="false">
      <c r="A87" s="45" t="n">
        <v>37371</v>
      </c>
      <c r="B87" s="46" t="s">
        <v>41</v>
      </c>
      <c r="C87" s="47" t="s">
        <v>40</v>
      </c>
      <c r="D87" s="47" t="s">
        <v>36</v>
      </c>
      <c r="E87" s="48" t="n">
        <v>14.3</v>
      </c>
      <c r="F87" s="47" t="n">
        <v>0.75</v>
      </c>
      <c r="G87" s="49" t="n">
        <v>10.73</v>
      </c>
      <c r="H87" s="49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customFormat="false" ht="15" hidden="false" customHeight="false" outlineLevel="0" collapsed="false">
      <c r="A88" s="45" t="n">
        <v>37372</v>
      </c>
      <c r="B88" s="46" t="s">
        <v>42</v>
      </c>
      <c r="C88" s="47" t="s">
        <v>40</v>
      </c>
      <c r="D88" s="47" t="s">
        <v>36</v>
      </c>
      <c r="E88" s="48" t="n">
        <v>14.3</v>
      </c>
      <c r="F88" s="47" t="n">
        <v>0.81</v>
      </c>
      <c r="G88" s="49" t="n">
        <v>11.58</v>
      </c>
      <c r="H88" s="49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customFormat="false" ht="15" hidden="false" customHeight="false" outlineLevel="0" collapsed="false">
      <c r="A89" s="45" t="n">
        <v>37373</v>
      </c>
      <c r="B89" s="46" t="s">
        <v>43</v>
      </c>
      <c r="C89" s="47" t="s">
        <v>40</v>
      </c>
      <c r="D89" s="47" t="s">
        <v>36</v>
      </c>
      <c r="E89" s="48" t="n">
        <v>14.3</v>
      </c>
      <c r="F89" s="47" t="n">
        <v>0.06</v>
      </c>
      <c r="G89" s="49" t="n">
        <v>0.86</v>
      </c>
      <c r="H89" s="49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customFormat="false" ht="15" hidden="false" customHeight="false" outlineLevel="0" collapsed="false">
      <c r="A90" s="45" t="n">
        <v>38381</v>
      </c>
      <c r="B90" s="46" t="s">
        <v>72</v>
      </c>
      <c r="C90" s="47" t="s">
        <v>40</v>
      </c>
      <c r="D90" s="47" t="s">
        <v>68</v>
      </c>
      <c r="E90" s="48" t="n">
        <v>0.003</v>
      </c>
      <c r="F90" s="47" t="n">
        <v>9.39</v>
      </c>
      <c r="G90" s="49" t="n">
        <v>0.03</v>
      </c>
      <c r="H90" s="49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customFormat="false" ht="15" hidden="false" customHeight="false" outlineLevel="0" collapsed="false">
      <c r="A91" s="45" t="n">
        <v>38393</v>
      </c>
      <c r="B91" s="46" t="s">
        <v>73</v>
      </c>
      <c r="C91" s="47" t="s">
        <v>40</v>
      </c>
      <c r="D91" s="47" t="s">
        <v>68</v>
      </c>
      <c r="E91" s="48" t="n">
        <v>0.003</v>
      </c>
      <c r="F91" s="47" t="n">
        <v>14.95</v>
      </c>
      <c r="G91" s="49" t="n">
        <v>0.04</v>
      </c>
      <c r="H91" s="49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customFormat="false" ht="15" hidden="false" customHeight="false" outlineLevel="0" collapsed="false">
      <c r="A92" s="45" t="n">
        <v>38447</v>
      </c>
      <c r="B92" s="46" t="s">
        <v>74</v>
      </c>
      <c r="C92" s="47" t="s">
        <v>40</v>
      </c>
      <c r="D92" s="47" t="s">
        <v>49</v>
      </c>
      <c r="E92" s="48" t="n">
        <v>0.002</v>
      </c>
      <c r="F92" s="47" t="n">
        <v>1130.74</v>
      </c>
      <c r="G92" s="49" t="n">
        <v>2.26</v>
      </c>
      <c r="H92" s="49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customFormat="false" ht="21" hidden="false" customHeight="false" outlineLevel="0" collapsed="false">
      <c r="A93" s="45" t="n">
        <v>3854</v>
      </c>
      <c r="B93" s="46" t="s">
        <v>75</v>
      </c>
      <c r="C93" s="47" t="s">
        <v>40</v>
      </c>
      <c r="D93" s="47" t="s">
        <v>68</v>
      </c>
      <c r="E93" s="48" t="n">
        <v>1.12</v>
      </c>
      <c r="F93" s="47" t="n">
        <v>10.39</v>
      </c>
      <c r="G93" s="49" t="n">
        <v>11.64</v>
      </c>
      <c r="H93" s="49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customFormat="false" ht="31.5" hidden="false" customHeight="false" outlineLevel="0" collapsed="false">
      <c r="A94" s="45" t="n">
        <v>39258</v>
      </c>
      <c r="B94" s="46" t="s">
        <v>76</v>
      </c>
      <c r="C94" s="47" t="s">
        <v>40</v>
      </c>
      <c r="D94" s="47" t="s">
        <v>66</v>
      </c>
      <c r="E94" s="48" t="n">
        <v>7</v>
      </c>
      <c r="F94" s="47" t="n">
        <v>8.33</v>
      </c>
      <c r="G94" s="49" t="n">
        <v>58.31</v>
      </c>
      <c r="H94" s="49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customFormat="false" ht="21" hidden="false" customHeight="false" outlineLevel="0" collapsed="false">
      <c r="A95" s="45" t="n">
        <v>39662</v>
      </c>
      <c r="B95" s="46" t="s">
        <v>77</v>
      </c>
      <c r="C95" s="47" t="s">
        <v>40</v>
      </c>
      <c r="D95" s="47" t="s">
        <v>66</v>
      </c>
      <c r="E95" s="48" t="n">
        <v>3.5</v>
      </c>
      <c r="F95" s="47" t="n">
        <v>20.77</v>
      </c>
      <c r="G95" s="49" t="n">
        <v>72.7</v>
      </c>
      <c r="H95" s="49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customFormat="false" ht="21" hidden="false" customHeight="false" outlineLevel="0" collapsed="false">
      <c r="A96" s="45" t="n">
        <v>39664</v>
      </c>
      <c r="B96" s="46" t="s">
        <v>78</v>
      </c>
      <c r="C96" s="47" t="s">
        <v>40</v>
      </c>
      <c r="D96" s="47" t="s">
        <v>66</v>
      </c>
      <c r="E96" s="48" t="n">
        <v>4.9</v>
      </c>
      <c r="F96" s="47" t="n">
        <v>31.96</v>
      </c>
      <c r="G96" s="49" t="n">
        <v>156.6</v>
      </c>
      <c r="H96" s="49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customFormat="false" ht="21" hidden="false" customHeight="false" outlineLevel="0" collapsed="false">
      <c r="A97" s="45" t="n">
        <v>39665</v>
      </c>
      <c r="B97" s="46" t="s">
        <v>79</v>
      </c>
      <c r="C97" s="47" t="s">
        <v>40</v>
      </c>
      <c r="D97" s="47" t="s">
        <v>66</v>
      </c>
      <c r="E97" s="48" t="n">
        <v>1.4</v>
      </c>
      <c r="F97" s="47" t="n">
        <v>53.92</v>
      </c>
      <c r="G97" s="49" t="n">
        <v>75.49</v>
      </c>
      <c r="H97" s="49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customFormat="false" ht="31.5" hidden="false" customHeight="false" outlineLevel="0" collapsed="false">
      <c r="A98" s="45" t="n">
        <v>39707</v>
      </c>
      <c r="B98" s="46" t="s">
        <v>80</v>
      </c>
      <c r="C98" s="47" t="s">
        <v>40</v>
      </c>
      <c r="D98" s="47" t="s">
        <v>66</v>
      </c>
      <c r="E98" s="48" t="n">
        <v>7</v>
      </c>
      <c r="F98" s="47" t="n">
        <v>5.07</v>
      </c>
      <c r="G98" s="49" t="n">
        <v>35.49</v>
      </c>
      <c r="H98" s="49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customFormat="false" ht="21" hidden="false" customHeight="false" outlineLevel="0" collapsed="false">
      <c r="A99" s="45" t="n">
        <v>4332</v>
      </c>
      <c r="B99" s="46" t="s">
        <v>81</v>
      </c>
      <c r="C99" s="47" t="s">
        <v>40</v>
      </c>
      <c r="D99" s="47" t="s">
        <v>68</v>
      </c>
      <c r="E99" s="48" t="n">
        <v>4</v>
      </c>
      <c r="F99" s="47" t="n">
        <v>1.05</v>
      </c>
      <c r="G99" s="49" t="n">
        <v>4.2</v>
      </c>
      <c r="H99" s="49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customFormat="false" ht="21" hidden="false" customHeight="false" outlineLevel="0" collapsed="false">
      <c r="A100" s="45" t="n">
        <v>43460</v>
      </c>
      <c r="B100" s="46" t="s">
        <v>44</v>
      </c>
      <c r="C100" s="47" t="s">
        <v>40</v>
      </c>
      <c r="D100" s="47" t="s">
        <v>36</v>
      </c>
      <c r="E100" s="48" t="n">
        <v>3</v>
      </c>
      <c r="F100" s="47" t="n">
        <v>0.78</v>
      </c>
      <c r="G100" s="49" t="n">
        <v>2.34</v>
      </c>
      <c r="H100" s="49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customFormat="false" ht="21" hidden="false" customHeight="false" outlineLevel="0" collapsed="false">
      <c r="A101" s="45" t="n">
        <v>43465</v>
      </c>
      <c r="B101" s="46" t="s">
        <v>82</v>
      </c>
      <c r="C101" s="47" t="s">
        <v>40</v>
      </c>
      <c r="D101" s="47" t="s">
        <v>36</v>
      </c>
      <c r="E101" s="48" t="n">
        <v>2.6</v>
      </c>
      <c r="F101" s="47" t="n">
        <v>0.74</v>
      </c>
      <c r="G101" s="49" t="n">
        <v>1.92</v>
      </c>
      <c r="H101" s="49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customFormat="false" ht="21" hidden="false" customHeight="false" outlineLevel="0" collapsed="false">
      <c r="A102" s="45" t="n">
        <v>43484</v>
      </c>
      <c r="B102" s="46" t="s">
        <v>46</v>
      </c>
      <c r="C102" s="47" t="s">
        <v>40</v>
      </c>
      <c r="D102" s="47" t="s">
        <v>36</v>
      </c>
      <c r="E102" s="48" t="n">
        <v>3</v>
      </c>
      <c r="F102" s="47" t="n">
        <v>1.07</v>
      </c>
      <c r="G102" s="49" t="n">
        <v>3.21</v>
      </c>
      <c r="H102" s="49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customFormat="false" ht="21" hidden="false" customHeight="false" outlineLevel="0" collapsed="false">
      <c r="A103" s="45" t="n">
        <v>43489</v>
      </c>
      <c r="B103" s="46" t="s">
        <v>83</v>
      </c>
      <c r="C103" s="47" t="s">
        <v>40</v>
      </c>
      <c r="D103" s="47" t="s">
        <v>36</v>
      </c>
      <c r="E103" s="48" t="n">
        <v>2.6</v>
      </c>
      <c r="F103" s="47" t="n">
        <v>1.09</v>
      </c>
      <c r="G103" s="49" t="n">
        <v>2.83</v>
      </c>
      <c r="H103" s="49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customFormat="false" ht="15" hidden="false" customHeight="false" outlineLevel="0" collapsed="false">
      <c r="A104" s="45" t="n">
        <v>43624</v>
      </c>
      <c r="B104" s="46" t="s">
        <v>84</v>
      </c>
      <c r="C104" s="47" t="s">
        <v>40</v>
      </c>
      <c r="D104" s="47" t="s">
        <v>85</v>
      </c>
      <c r="E104" s="48" t="n">
        <v>3</v>
      </c>
      <c r="F104" s="47" t="n">
        <v>31.53</v>
      </c>
      <c r="G104" s="49" t="n">
        <v>94.59</v>
      </c>
      <c r="H104" s="49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customFormat="false" ht="15" hidden="false" customHeight="false" outlineLevel="0" collapsed="false">
      <c r="A105" s="45" t="n">
        <v>43626</v>
      </c>
      <c r="B105" s="46" t="s">
        <v>86</v>
      </c>
      <c r="C105" s="47" t="s">
        <v>40</v>
      </c>
      <c r="D105" s="47" t="s">
        <v>71</v>
      </c>
      <c r="E105" s="48" t="n">
        <v>3</v>
      </c>
      <c r="F105" s="47" t="n">
        <v>2.78</v>
      </c>
      <c r="G105" s="49" t="n">
        <v>8.34</v>
      </c>
      <c r="H105" s="49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customFormat="false" ht="15" hidden="false" customHeight="false" outlineLevel="0" collapsed="false">
      <c r="A106" s="45" t="n">
        <v>4374</v>
      </c>
      <c r="B106" s="46" t="s">
        <v>87</v>
      </c>
      <c r="C106" s="47" t="s">
        <v>40</v>
      </c>
      <c r="D106" s="47" t="s">
        <v>68</v>
      </c>
      <c r="E106" s="48" t="n">
        <v>10</v>
      </c>
      <c r="F106" s="47" t="n">
        <v>0.74</v>
      </c>
      <c r="G106" s="49" t="n">
        <v>7.4</v>
      </c>
      <c r="H106" s="49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customFormat="false" ht="15" hidden="false" customHeight="false" outlineLevel="0" collapsed="false">
      <c r="A107" s="45" t="n">
        <v>9867</v>
      </c>
      <c r="B107" s="46" t="s">
        <v>88</v>
      </c>
      <c r="C107" s="47" t="s">
        <v>40</v>
      </c>
      <c r="D107" s="47" t="s">
        <v>66</v>
      </c>
      <c r="E107" s="48" t="n">
        <v>7</v>
      </c>
      <c r="F107" s="47" t="n">
        <v>3.9</v>
      </c>
      <c r="G107" s="49" t="n">
        <v>27.3</v>
      </c>
      <c r="H107" s="4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customFormat="false" ht="21" hidden="false" customHeight="false" outlineLevel="0" collapsed="false">
      <c r="A108" s="45" t="s">
        <v>89</v>
      </c>
      <c r="B108" s="46" t="s">
        <v>90</v>
      </c>
      <c r="C108" s="47" t="s">
        <v>40</v>
      </c>
      <c r="D108" s="47" t="s">
        <v>49</v>
      </c>
      <c r="E108" s="48" t="n">
        <v>1</v>
      </c>
      <c r="F108" s="47" t="n">
        <v>41.17</v>
      </c>
      <c r="G108" s="49" t="n">
        <v>41.17</v>
      </c>
      <c r="H108" s="49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customFormat="false" ht="45.75" hidden="false" customHeight="true" outlineLevel="0" collapsed="false">
      <c r="A109" s="50"/>
      <c r="B109" s="75" t="s">
        <v>91</v>
      </c>
      <c r="C109" s="52"/>
      <c r="D109" s="52"/>
      <c r="E109" s="53"/>
      <c r="F109" s="52"/>
      <c r="G109" s="54"/>
      <c r="H109" s="5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customFormat="false" ht="15" hidden="false" customHeight="false" outlineLevel="0" collapsed="false">
      <c r="A110" s="50"/>
      <c r="B110" s="75"/>
      <c r="C110" s="52"/>
      <c r="D110" s="52"/>
      <c r="E110" s="53"/>
      <c r="F110" s="52"/>
      <c r="G110" s="54"/>
      <c r="H110" s="5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customFormat="false" ht="42" hidden="false" customHeight="false" outlineLevel="0" collapsed="false">
      <c r="A111" s="40" t="s">
        <v>18</v>
      </c>
      <c r="B111" s="41" t="s">
        <v>92</v>
      </c>
      <c r="C111" s="40" t="s">
        <v>32</v>
      </c>
      <c r="D111" s="42" t="s">
        <v>49</v>
      </c>
      <c r="E111" s="43" t="n">
        <v>8</v>
      </c>
      <c r="F111" s="44" t="n">
        <f aca="false">G111+H111</f>
        <v>72.8</v>
      </c>
      <c r="G111" s="44" t="n">
        <f aca="false">SUMPRODUCT(E114:E117,F114:F117)</f>
        <v>14.92</v>
      </c>
      <c r="H111" s="44" t="n">
        <f aca="false">SUMPRODUCT(E112:E113,F112:F113)</f>
        <v>57.88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customFormat="false" ht="15" hidden="false" customHeight="false" outlineLevel="0" collapsed="false">
      <c r="A112" s="45" t="n">
        <v>242</v>
      </c>
      <c r="B112" s="46" t="s">
        <v>34</v>
      </c>
      <c r="C112" s="47" t="s">
        <v>35</v>
      </c>
      <c r="D112" s="47" t="s">
        <v>36</v>
      </c>
      <c r="E112" s="48" t="n">
        <v>2</v>
      </c>
      <c r="F112" s="47" t="n">
        <v>11.26</v>
      </c>
      <c r="G112" s="49"/>
      <c r="H112" s="49" t="n">
        <v>22.52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customFormat="false" ht="15" hidden="false" customHeight="false" outlineLevel="0" collapsed="false">
      <c r="A113" s="45" t="n">
        <v>34794</v>
      </c>
      <c r="B113" s="46" t="s">
        <v>38</v>
      </c>
      <c r="C113" s="47" t="s">
        <v>35</v>
      </c>
      <c r="D113" s="47" t="s">
        <v>36</v>
      </c>
      <c r="E113" s="48" t="n">
        <v>2</v>
      </c>
      <c r="F113" s="47" t="n">
        <v>17.68</v>
      </c>
      <c r="G113" s="49"/>
      <c r="H113" s="49" t="n">
        <v>35.36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customFormat="false" ht="15" hidden="false" customHeight="false" outlineLevel="0" collapsed="false">
      <c r="A114" s="45" t="n">
        <v>37370</v>
      </c>
      <c r="B114" s="46" t="s">
        <v>39</v>
      </c>
      <c r="C114" s="47" t="s">
        <v>40</v>
      </c>
      <c r="D114" s="47" t="s">
        <v>36</v>
      </c>
      <c r="E114" s="48" t="n">
        <v>4</v>
      </c>
      <c r="F114" s="47" t="n">
        <v>2.11</v>
      </c>
      <c r="G114" s="49" t="n">
        <v>8.44</v>
      </c>
      <c r="H114" s="49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customFormat="false" ht="15" hidden="false" customHeight="false" outlineLevel="0" collapsed="false">
      <c r="A115" s="45" t="n">
        <v>37371</v>
      </c>
      <c r="B115" s="46" t="s">
        <v>41</v>
      </c>
      <c r="C115" s="47" t="s">
        <v>40</v>
      </c>
      <c r="D115" s="47" t="s">
        <v>36</v>
      </c>
      <c r="E115" s="48" t="n">
        <v>4</v>
      </c>
      <c r="F115" s="47" t="n">
        <v>0.75</v>
      </c>
      <c r="G115" s="49" t="n">
        <v>3</v>
      </c>
      <c r="H115" s="49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customFormat="false" ht="15" hidden="false" customHeight="false" outlineLevel="0" collapsed="false">
      <c r="A116" s="45" t="n">
        <v>37372</v>
      </c>
      <c r="B116" s="46" t="s">
        <v>42</v>
      </c>
      <c r="C116" s="47" t="s">
        <v>40</v>
      </c>
      <c r="D116" s="47" t="s">
        <v>36</v>
      </c>
      <c r="E116" s="48" t="n">
        <v>4</v>
      </c>
      <c r="F116" s="47" t="n">
        <v>0.81</v>
      </c>
      <c r="G116" s="49" t="n">
        <v>3.24</v>
      </c>
      <c r="H116" s="49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customFormat="false" ht="15" hidden="false" customHeight="false" outlineLevel="0" collapsed="false">
      <c r="A117" s="45" t="n">
        <v>37373</v>
      </c>
      <c r="B117" s="46" t="s">
        <v>43</v>
      </c>
      <c r="C117" s="47" t="s">
        <v>40</v>
      </c>
      <c r="D117" s="47" t="s">
        <v>36</v>
      </c>
      <c r="E117" s="48" t="n">
        <v>4</v>
      </c>
      <c r="F117" s="47" t="n">
        <v>0.06</v>
      </c>
      <c r="G117" s="49" t="n">
        <v>0.24</v>
      </c>
      <c r="H117" s="49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</sheetData>
  <mergeCells count="3">
    <mergeCell ref="A1:B3"/>
    <mergeCell ref="C1:H1"/>
    <mergeCell ref="C2:G3"/>
  </mergeCells>
  <printOptions headings="false" gridLines="false" gridLinesSet="true" horizontalCentered="true" verticalCentered="tru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B4C6E7"/>
    <pageSetUpPr fitToPage="false"/>
  </sheetPr>
  <dimension ref="A1:AG36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100" zoomScalePageLayoutView="90" workbookViewId="0">
      <selection pane="topLeft" activeCell="L14" activeCellId="0" sqref="L14"/>
    </sheetView>
  </sheetViews>
  <sheetFormatPr defaultRowHeight="15" zeroHeight="false" outlineLevelRow="0" outlineLevelCol="0"/>
  <cols>
    <col collapsed="false" customWidth="true" hidden="false" outlineLevel="0" max="1" min="1" style="1" width="2"/>
    <col collapsed="false" customWidth="true" hidden="false" outlineLevel="0" max="2" min="2" style="1" width="53.14"/>
    <col collapsed="false" customWidth="true" hidden="false" outlineLevel="0" max="4" min="3" style="1" width="28.71"/>
    <col collapsed="false" customWidth="true" hidden="false" outlineLevel="0" max="5" min="5" style="1" width="2.42"/>
    <col collapsed="false" customWidth="true" hidden="false" outlineLevel="0" max="33" min="6" style="1" width="8.71"/>
    <col collapsed="false" customWidth="true" hidden="false" outlineLevel="0" max="1025" min="34" style="1" width="14.43"/>
  </cols>
  <sheetData>
    <row r="1" customFormat="false" ht="54.75" hidden="false" customHeight="true" outlineLevel="0" collapsed="false">
      <c r="E1" s="76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customFormat="false" ht="23.25" hidden="false" customHeight="true" outlineLevel="0" collapsed="false">
      <c r="A2" s="76"/>
      <c r="B2" s="78" t="s">
        <v>93</v>
      </c>
      <c r="C2" s="78"/>
      <c r="D2" s="78"/>
      <c r="E2" s="76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customFormat="false" ht="15" hidden="false" customHeight="false" outlineLevel="0" collapsed="false">
      <c r="A3" s="4"/>
      <c r="B3" s="79"/>
      <c r="C3" s="4"/>
      <c r="D3" s="4"/>
      <c r="E3" s="4"/>
      <c r="F3" s="4"/>
      <c r="G3" s="80"/>
      <c r="H3" s="80"/>
      <c r="I3" s="81"/>
      <c r="J3" s="81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customFormat="false" ht="15" hidden="false" customHeight="false" outlineLevel="0" collapsed="false">
      <c r="A4" s="4"/>
      <c r="B4" s="82" t="s">
        <v>94</v>
      </c>
      <c r="C4" s="4"/>
      <c r="D4" s="4"/>
      <c r="E4" s="4"/>
      <c r="F4" s="4"/>
      <c r="G4" s="80"/>
      <c r="H4" s="80" t="s">
        <v>95</v>
      </c>
      <c r="I4" s="80"/>
      <c r="J4" s="80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customFormat="false" ht="15" hidden="false" customHeight="false" outlineLevel="0" collapsed="false">
      <c r="A5" s="4"/>
      <c r="B5" s="79"/>
      <c r="C5" s="4"/>
      <c r="D5" s="4"/>
      <c r="E5" s="4"/>
      <c r="F5" s="4"/>
      <c r="G5" s="80"/>
      <c r="H5" s="80"/>
      <c r="I5" s="81"/>
      <c r="J5" s="8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customFormat="false" ht="15" hidden="false" customHeight="false" outlineLevel="0" collapsed="false">
      <c r="A6" s="4"/>
      <c r="B6" s="83" t="s">
        <v>96</v>
      </c>
      <c r="C6" s="84" t="s">
        <v>97</v>
      </c>
      <c r="D6" s="84" t="s">
        <v>98</v>
      </c>
      <c r="E6" s="4"/>
      <c r="F6" s="4"/>
      <c r="G6" s="80"/>
      <c r="H6" s="80" t="s">
        <v>99</v>
      </c>
      <c r="I6" s="80" t="s">
        <v>100</v>
      </c>
      <c r="J6" s="80" t="s">
        <v>101</v>
      </c>
      <c r="K6" s="7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customFormat="false" ht="15" hidden="false" customHeight="false" outlineLevel="0" collapsed="false">
      <c r="A7" s="4"/>
      <c r="B7" s="85" t="s">
        <v>102</v>
      </c>
      <c r="C7" s="86" t="n">
        <v>0.03</v>
      </c>
      <c r="D7" s="86" t="n">
        <v>0.02</v>
      </c>
      <c r="E7" s="4"/>
      <c r="F7" s="4"/>
      <c r="G7" s="80" t="s">
        <v>103</v>
      </c>
      <c r="H7" s="86" t="n">
        <v>0.03</v>
      </c>
      <c r="I7" s="86" t="n">
        <v>0.04</v>
      </c>
      <c r="J7" s="86" t="n">
        <v>0.055</v>
      </c>
      <c r="K7" s="4"/>
      <c r="L7" s="87" t="s">
        <v>104</v>
      </c>
      <c r="M7" s="88" t="n">
        <f aca="false">0.97/100</f>
        <v>0.0097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customFormat="false" ht="15" hidden="false" customHeight="false" outlineLevel="0" collapsed="false">
      <c r="A8" s="4"/>
      <c r="B8" s="85" t="s">
        <v>105</v>
      </c>
      <c r="C8" s="86" t="n">
        <v>0.004</v>
      </c>
      <c r="D8" s="86" t="n">
        <v>0.0015</v>
      </c>
      <c r="E8" s="4"/>
      <c r="F8" s="4"/>
      <c r="G8" s="80"/>
      <c r="H8" s="86"/>
      <c r="I8" s="86"/>
      <c r="J8" s="8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customFormat="false" ht="15" hidden="false" customHeight="false" outlineLevel="0" collapsed="false">
      <c r="A9" s="4"/>
      <c r="B9" s="85" t="s">
        <v>106</v>
      </c>
      <c r="C9" s="86" t="n">
        <v>0.004</v>
      </c>
      <c r="D9" s="86" t="n">
        <v>0.0015</v>
      </c>
      <c r="E9" s="4"/>
      <c r="F9" s="4"/>
      <c r="G9" s="80" t="s">
        <v>107</v>
      </c>
      <c r="H9" s="86" t="n">
        <v>0.008</v>
      </c>
      <c r="I9" s="86" t="n">
        <v>0.008</v>
      </c>
      <c r="J9" s="86" t="n">
        <v>0.01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customFormat="false" ht="15" hidden="false" customHeight="false" outlineLevel="0" collapsed="false">
      <c r="A10" s="4"/>
      <c r="B10" s="85" t="s">
        <v>108</v>
      </c>
      <c r="C10" s="86" t="n">
        <v>0.0097</v>
      </c>
      <c r="D10" s="86" t="n">
        <v>0.0056</v>
      </c>
      <c r="E10" s="4"/>
      <c r="F10" s="4"/>
      <c r="G10" s="80" t="s">
        <v>109</v>
      </c>
      <c r="H10" s="86" t="n">
        <v>0.0097</v>
      </c>
      <c r="I10" s="86" t="n">
        <v>0.0127</v>
      </c>
      <c r="J10" s="86" t="n">
        <v>0.0127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customFormat="false" ht="15" hidden="false" customHeight="false" outlineLevel="0" collapsed="false">
      <c r="A11" s="4"/>
      <c r="B11" s="89" t="s">
        <v>110</v>
      </c>
      <c r="C11" s="90" t="n">
        <f aca="false">SUM(C7:C10)</f>
        <v>0.0477</v>
      </c>
      <c r="D11" s="90" t="n">
        <f aca="false">SUM(D7:D10)</f>
        <v>0.0286</v>
      </c>
      <c r="E11" s="4"/>
      <c r="F11" s="4"/>
      <c r="G11" s="80"/>
      <c r="H11" s="86"/>
      <c r="I11" s="86"/>
      <c r="J11" s="8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customFormat="false" ht="15" hidden="false" customHeight="false" outlineLevel="0" collapsed="false">
      <c r="A12" s="4"/>
      <c r="B12" s="85" t="s">
        <v>111</v>
      </c>
      <c r="C12" s="86" t="n">
        <v>0.0059</v>
      </c>
      <c r="D12" s="86" t="n">
        <v>0.0085</v>
      </c>
      <c r="E12" s="4"/>
      <c r="F12" s="4"/>
      <c r="G12" s="80"/>
      <c r="H12" s="86"/>
      <c r="I12" s="86"/>
      <c r="J12" s="8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customFormat="false" ht="15" hidden="false" customHeight="false" outlineLevel="0" collapsed="false">
      <c r="A13" s="4"/>
      <c r="B13" s="89" t="s">
        <v>112</v>
      </c>
      <c r="C13" s="91" t="n">
        <f aca="false">C12</f>
        <v>0.0059</v>
      </c>
      <c r="D13" s="91" t="n">
        <f aca="false">D12</f>
        <v>0.0085</v>
      </c>
      <c r="E13" s="4"/>
      <c r="F13" s="4"/>
      <c r="G13" s="80" t="s">
        <v>113</v>
      </c>
      <c r="H13" s="86" t="n">
        <v>0.0059</v>
      </c>
      <c r="I13" s="86" t="n">
        <v>0.0123</v>
      </c>
      <c r="J13" s="86" t="n">
        <v>0.0139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customFormat="false" ht="15" hidden="false" customHeight="false" outlineLevel="0" collapsed="false">
      <c r="A14" s="4"/>
      <c r="B14" s="85" t="s">
        <v>114</v>
      </c>
      <c r="C14" s="86" t="n">
        <v>0.0616</v>
      </c>
      <c r="D14" s="86" t="n">
        <f aca="false">C14</f>
        <v>0.0616</v>
      </c>
      <c r="E14" s="4"/>
      <c r="F14" s="4"/>
      <c r="G14" s="80"/>
      <c r="H14" s="86"/>
      <c r="I14" s="86"/>
      <c r="J14" s="8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customFormat="false" ht="15" hidden="false" customHeight="false" outlineLevel="0" collapsed="false">
      <c r="A15" s="4"/>
      <c r="B15" s="89" t="s">
        <v>115</v>
      </c>
      <c r="C15" s="92" t="n">
        <f aca="false">C14</f>
        <v>0.0616</v>
      </c>
      <c r="D15" s="92" t="n">
        <f aca="false">D14</f>
        <v>0.0616</v>
      </c>
      <c r="E15" s="4"/>
      <c r="F15" s="4"/>
      <c r="G15" s="80" t="s">
        <v>85</v>
      </c>
      <c r="H15" s="86" t="n">
        <v>0.0616</v>
      </c>
      <c r="I15" s="86" t="n">
        <v>0.074</v>
      </c>
      <c r="J15" s="86" t="n">
        <v>0.0896</v>
      </c>
      <c r="K15" s="9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customFormat="false" ht="15" hidden="false" customHeight="false" outlineLevel="0" collapsed="false">
      <c r="A16" s="4"/>
      <c r="B16" s="94" t="s">
        <v>116</v>
      </c>
      <c r="C16" s="95" t="n">
        <f aca="false">(1+C11)*(1+C13)*(1+C15)</f>
        <v>1.118800526088</v>
      </c>
      <c r="D16" s="95" t="n">
        <f aca="false">(1+D11)*(1+D13)*(1+D15)</f>
        <v>1.10124343496</v>
      </c>
      <c r="E16" s="4"/>
      <c r="F16" s="4"/>
      <c r="G16" s="80"/>
      <c r="H16" s="86"/>
      <c r="I16" s="86"/>
      <c r="J16" s="8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customFormat="false" ht="15.75" hidden="false" customHeight="true" outlineLevel="0" collapsed="false">
      <c r="A17" s="4"/>
      <c r="B17" s="85" t="s">
        <v>117</v>
      </c>
      <c r="C17" s="86" t="n">
        <v>0.0065</v>
      </c>
      <c r="D17" s="86" t="n">
        <f aca="false">C17</f>
        <v>0.0065</v>
      </c>
      <c r="E17" s="4"/>
      <c r="F17" s="4"/>
      <c r="G17" s="80"/>
      <c r="H17" s="86"/>
      <c r="I17" s="86"/>
      <c r="J17" s="8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customFormat="false" ht="15.75" hidden="false" customHeight="true" outlineLevel="0" collapsed="false">
      <c r="A18" s="4"/>
      <c r="B18" s="85" t="s">
        <v>118</v>
      </c>
      <c r="C18" s="86" t="n">
        <v>0.03</v>
      </c>
      <c r="D18" s="86" t="n">
        <v>0.03</v>
      </c>
      <c r="E18" s="4"/>
      <c r="F18" s="4"/>
      <c r="G18" s="80"/>
      <c r="H18" s="86"/>
      <c r="I18" s="86"/>
      <c r="J18" s="86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customFormat="false" ht="15.75" hidden="false" customHeight="true" outlineLevel="0" collapsed="false">
      <c r="A19" s="4"/>
      <c r="B19" s="85" t="s">
        <v>119</v>
      </c>
      <c r="C19" s="86" t="n">
        <v>0.05</v>
      </c>
      <c r="D19" s="86"/>
      <c r="E19" s="4"/>
      <c r="F19" s="4"/>
      <c r="G19" s="80"/>
      <c r="H19" s="86" t="n">
        <v>0.02</v>
      </c>
      <c r="I19" s="86"/>
      <c r="J19" s="86" t="n">
        <v>0.05</v>
      </c>
      <c r="K19" s="87" t="s">
        <v>120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customFormat="false" ht="15.75" hidden="false" customHeight="true" outlineLevel="0" collapsed="false">
      <c r="A20" s="4"/>
      <c r="B20" s="85" t="s">
        <v>121</v>
      </c>
      <c r="C20" s="86" t="n">
        <v>0.045</v>
      </c>
      <c r="D20" s="86" t="n">
        <v>0.045</v>
      </c>
      <c r="E20" s="4"/>
      <c r="F20" s="4"/>
      <c r="G20" s="80"/>
      <c r="H20" s="86"/>
      <c r="I20" s="86"/>
      <c r="J20" s="86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customFormat="false" ht="15.75" hidden="false" customHeight="true" outlineLevel="0" collapsed="false">
      <c r="A21" s="4"/>
      <c r="B21" s="94" t="s">
        <v>122</v>
      </c>
      <c r="C21" s="96" t="n">
        <f aca="false">1-SUM(C17:C20)</f>
        <v>0.8685</v>
      </c>
      <c r="D21" s="96" t="n">
        <f aca="false">1-SUM(D17:D20)</f>
        <v>0.9185</v>
      </c>
      <c r="E21" s="4"/>
      <c r="F21" s="4"/>
      <c r="G21" s="80"/>
      <c r="H21" s="86"/>
      <c r="I21" s="86"/>
      <c r="J21" s="86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customFormat="false" ht="15.75" hidden="false" customHeight="true" outlineLevel="0" collapsed="false">
      <c r="A22" s="4"/>
      <c r="B22" s="97"/>
      <c r="C22" s="98" t="n">
        <f aca="false">C16/C21-1</f>
        <v>0.288198648345423</v>
      </c>
      <c r="D22" s="98" t="n">
        <f aca="false">D16/D21-1</f>
        <v>0.198958557387044</v>
      </c>
      <c r="E22" s="4"/>
      <c r="F22" s="4"/>
      <c r="G22" s="80" t="s">
        <v>123</v>
      </c>
      <c r="H22" s="99" t="n">
        <v>0.2034</v>
      </c>
      <c r="I22" s="99" t="n">
        <v>0.2212</v>
      </c>
      <c r="J22" s="99" t="n">
        <v>0.25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customFormat="false" ht="15.75" hidden="false" customHeight="true" outlineLevel="0" collapsed="false">
      <c r="A23" s="4"/>
      <c r="B23" s="4"/>
      <c r="C23" s="100"/>
      <c r="D23" s="100"/>
      <c r="E23" s="4"/>
      <c r="F23" s="4"/>
      <c r="G23" s="80"/>
      <c r="H23" s="99"/>
      <c r="I23" s="99"/>
      <c r="J23" s="99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customFormat="false" ht="15.75" hidden="false" customHeight="true" outlineLevel="0" collapsed="false">
      <c r="A24" s="4"/>
      <c r="B24" s="87" t="s">
        <v>124</v>
      </c>
      <c r="C24" s="4"/>
      <c r="D24" s="4"/>
      <c r="E24" s="4"/>
      <c r="F24" s="4"/>
      <c r="G24" s="4"/>
      <c r="H24" s="93" t="s">
        <v>125</v>
      </c>
      <c r="I24" s="93"/>
      <c r="J24" s="9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customFormat="false" ht="15.75" hidden="false" customHeight="true" outlineLevel="0" collapsed="false">
      <c r="A25" s="4"/>
      <c r="B25" s="4"/>
      <c r="C25" s="4"/>
      <c r="D25" s="4"/>
      <c r="E25" s="4"/>
      <c r="F25" s="4"/>
      <c r="G25" s="4"/>
      <c r="H25" s="93"/>
      <c r="I25" s="93"/>
      <c r="J25" s="9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customFormat="false" ht="15.75" hidden="false" customHeight="tru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customFormat="false" ht="15.75" hidden="false" customHeight="tru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customFormat="false" ht="15.75" hidden="false" customHeight="tru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customFormat="false" ht="15.75" hidden="false" customHeight="tru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customFormat="false" ht="15.75" hidden="false" customHeight="true" outlineLevel="0" collapsed="false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customFormat="false" ht="15.75" hidden="false" customHeight="true" outlineLevel="0" collapsed="false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customFormat="false" ht="15.75" hidden="false" customHeight="true" outlineLevel="0" collapsed="false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customFormat="false" ht="15.75" hidden="false" customHeight="true" outlineLevel="0" collapsed="false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customFormat="false" ht="15.75" hidden="false" customHeight="true" outlineLevel="0" collapsed="false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customFormat="false" ht="15.75" hidden="false" customHeight="true" outlineLevel="0" collapsed="false">
      <c r="A35" s="4"/>
      <c r="B35" s="101" t="s">
        <v>126</v>
      </c>
      <c r="C35" s="101"/>
      <c r="D35" s="101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</sheetData>
  <mergeCells count="1">
    <mergeCell ref="B2:D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5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5" man="true" max="65535" min="0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60"/>
  <sheetViews>
    <sheetView showFormulas="false" showGridLines="true" showRowColHeaders="true" showZeros="true" rightToLeft="false" tabSelected="false" showOutlineSymbols="true" defaultGridColor="true" view="pageBreakPreview" topLeftCell="A22" colorId="64" zoomScale="80" zoomScaleNormal="85" zoomScalePageLayoutView="80" workbookViewId="0">
      <selection pane="topLeft" activeCell="L14" activeCellId="0" sqref="L14"/>
    </sheetView>
  </sheetViews>
  <sheetFormatPr defaultRowHeight="15" zeroHeight="false" outlineLevelRow="0" outlineLevelCol="0"/>
  <cols>
    <col collapsed="false" customWidth="true" hidden="false" outlineLevel="0" max="3" min="1" style="102" width="18.14"/>
    <col collapsed="false" customWidth="true" hidden="false" outlineLevel="0" max="6" min="4" style="102" width="14.86"/>
    <col collapsed="false" customWidth="true" hidden="false" outlineLevel="0" max="7" min="7" style="102" width="24.15"/>
    <col collapsed="false" customWidth="true" hidden="false" outlineLevel="0" max="1025" min="8" style="102" width="8.71"/>
  </cols>
  <sheetData>
    <row r="1" customFormat="false" ht="15" hidden="false" customHeight="true" outlineLevel="0" collapsed="false">
      <c r="A1" s="103"/>
      <c r="B1" s="103"/>
      <c r="C1" s="103"/>
      <c r="D1" s="103" t="s">
        <v>127</v>
      </c>
      <c r="E1" s="103"/>
      <c r="F1" s="103"/>
      <c r="G1" s="103"/>
    </row>
    <row r="2" customFormat="false" ht="15" hidden="false" customHeight="false" outlineLevel="0" collapsed="false">
      <c r="A2" s="103"/>
      <c r="B2" s="103"/>
      <c r="C2" s="103"/>
      <c r="D2" s="104" t="str">
        <f aca="false">'Orçamento Sintético'!C2</f>
        <v>MANUTENÇÃO DE AR CONDICIONADO - RIO VERDE</v>
      </c>
      <c r="E2" s="104"/>
      <c r="F2" s="104"/>
      <c r="G2" s="105" t="n">
        <f aca="false">'Orçamento Sintético'!H2</f>
        <v>44796</v>
      </c>
    </row>
    <row r="3" customFormat="false" ht="30.75" hidden="false" customHeight="true" outlineLevel="0" collapsed="false">
      <c r="A3" s="103"/>
      <c r="B3" s="103"/>
      <c r="C3" s="103"/>
      <c r="D3" s="104"/>
      <c r="E3" s="104"/>
      <c r="F3" s="104"/>
      <c r="G3" s="106" t="str">
        <f aca="false">'Orçamento Sintético'!H3</f>
        <v>SINAPI 06/22</v>
      </c>
    </row>
    <row r="4" customFormat="false" ht="15" hidden="false" customHeight="false" outlineLevel="0" collapsed="false">
      <c r="A4" s="107"/>
      <c r="B4" s="108"/>
      <c r="C4" s="108"/>
      <c r="D4" s="108"/>
      <c r="E4" s="108"/>
      <c r="F4" s="108"/>
      <c r="G4" s="109"/>
    </row>
    <row r="13" customFormat="false" ht="15" hidden="false" customHeight="false" outlineLevel="0" collapsed="false">
      <c r="A13" s="110"/>
      <c r="G13" s="111"/>
    </row>
    <row r="14" customFormat="false" ht="15" hidden="false" customHeight="false" outlineLevel="0" collapsed="false">
      <c r="A14" s="110"/>
      <c r="G14" s="111"/>
    </row>
    <row r="15" customFormat="false" ht="15" hidden="false" customHeight="false" outlineLevel="0" collapsed="false">
      <c r="A15" s="110"/>
      <c r="G15" s="111"/>
    </row>
    <row r="16" customFormat="false" ht="15" hidden="false" customHeight="false" outlineLevel="0" collapsed="false">
      <c r="A16" s="110"/>
      <c r="G16" s="111"/>
    </row>
    <row r="17" customFormat="false" ht="15" hidden="false" customHeight="false" outlineLevel="0" collapsed="false">
      <c r="A17" s="110"/>
      <c r="G17" s="111"/>
    </row>
    <row r="18" customFormat="false" ht="15" hidden="false" customHeight="false" outlineLevel="0" collapsed="false">
      <c r="A18" s="110"/>
      <c r="G18" s="111"/>
    </row>
    <row r="19" customFormat="false" ht="15" hidden="false" customHeight="false" outlineLevel="0" collapsed="false">
      <c r="A19" s="110"/>
      <c r="G19" s="111"/>
    </row>
    <row r="20" customFormat="false" ht="15" hidden="false" customHeight="false" outlineLevel="0" collapsed="false">
      <c r="A20" s="110"/>
      <c r="G20" s="111"/>
    </row>
    <row r="21" customFormat="false" ht="15" hidden="false" customHeight="false" outlineLevel="0" collapsed="false">
      <c r="A21" s="110"/>
      <c r="G21" s="111"/>
    </row>
    <row r="22" customFormat="false" ht="15" hidden="false" customHeight="false" outlineLevel="0" collapsed="false">
      <c r="A22" s="110"/>
      <c r="G22" s="111"/>
    </row>
    <row r="23" customFormat="false" ht="15" hidden="false" customHeight="false" outlineLevel="0" collapsed="false">
      <c r="A23" s="110"/>
      <c r="G23" s="111"/>
    </row>
    <row r="24" customFormat="false" ht="15" hidden="false" customHeight="false" outlineLevel="0" collapsed="false">
      <c r="A24" s="110"/>
      <c r="G24" s="111"/>
    </row>
    <row r="25" customFormat="false" ht="15" hidden="false" customHeight="false" outlineLevel="0" collapsed="false">
      <c r="A25" s="110"/>
      <c r="G25" s="111"/>
    </row>
    <row r="26" customFormat="false" ht="15" hidden="false" customHeight="false" outlineLevel="0" collapsed="false">
      <c r="A26" s="110"/>
      <c r="G26" s="111"/>
    </row>
    <row r="27" customFormat="false" ht="15" hidden="false" customHeight="false" outlineLevel="0" collapsed="false">
      <c r="A27" s="110"/>
      <c r="G27" s="111"/>
    </row>
    <row r="28" customFormat="false" ht="15" hidden="false" customHeight="false" outlineLevel="0" collapsed="false">
      <c r="A28" s="110"/>
      <c r="G28" s="111"/>
    </row>
    <row r="29" customFormat="false" ht="15" hidden="false" customHeight="false" outlineLevel="0" collapsed="false">
      <c r="A29" s="110"/>
      <c r="G29" s="111"/>
    </row>
    <row r="30" customFormat="false" ht="15" hidden="false" customHeight="false" outlineLevel="0" collapsed="false">
      <c r="A30" s="110"/>
      <c r="G30" s="111"/>
    </row>
    <row r="31" customFormat="false" ht="15" hidden="false" customHeight="false" outlineLevel="0" collapsed="false">
      <c r="A31" s="110"/>
      <c r="G31" s="111"/>
    </row>
    <row r="32" customFormat="false" ht="15" hidden="false" customHeight="false" outlineLevel="0" collapsed="false">
      <c r="A32" s="110"/>
      <c r="G32" s="111"/>
    </row>
    <row r="33" customFormat="false" ht="15" hidden="false" customHeight="false" outlineLevel="0" collapsed="false">
      <c r="A33" s="110"/>
      <c r="G33" s="111"/>
    </row>
    <row r="34" customFormat="false" ht="15" hidden="false" customHeight="false" outlineLevel="0" collapsed="false">
      <c r="A34" s="110"/>
      <c r="G34" s="111"/>
    </row>
    <row r="35" customFormat="false" ht="15" hidden="false" customHeight="false" outlineLevel="0" collapsed="false">
      <c r="A35" s="110"/>
      <c r="G35" s="111"/>
    </row>
    <row r="36" customFormat="false" ht="15" hidden="false" customHeight="false" outlineLevel="0" collapsed="false">
      <c r="A36" s="110"/>
      <c r="G36" s="111"/>
    </row>
    <row r="37" customFormat="false" ht="15" hidden="false" customHeight="false" outlineLevel="0" collapsed="false">
      <c r="A37" s="110"/>
      <c r="G37" s="111"/>
    </row>
    <row r="38" customFormat="false" ht="15" hidden="false" customHeight="false" outlineLevel="0" collapsed="false">
      <c r="A38" s="110"/>
      <c r="G38" s="111"/>
    </row>
    <row r="39" customFormat="false" ht="15" hidden="false" customHeight="false" outlineLevel="0" collapsed="false">
      <c r="A39" s="110"/>
      <c r="G39" s="111"/>
    </row>
    <row r="40" customFormat="false" ht="15" hidden="false" customHeight="false" outlineLevel="0" collapsed="false">
      <c r="A40" s="110"/>
      <c r="G40" s="111"/>
    </row>
    <row r="41" customFormat="false" ht="15" hidden="false" customHeight="false" outlineLevel="0" collapsed="false">
      <c r="A41" s="110"/>
      <c r="G41" s="111"/>
    </row>
    <row r="42" customFormat="false" ht="15" hidden="false" customHeight="false" outlineLevel="0" collapsed="false">
      <c r="A42" s="110"/>
      <c r="G42" s="111"/>
    </row>
    <row r="43" customFormat="false" ht="15" hidden="false" customHeight="false" outlineLevel="0" collapsed="false">
      <c r="A43" s="110"/>
      <c r="G43" s="111"/>
    </row>
    <row r="44" customFormat="false" ht="15" hidden="false" customHeight="false" outlineLevel="0" collapsed="false">
      <c r="A44" s="110"/>
      <c r="G44" s="111"/>
    </row>
    <row r="45" customFormat="false" ht="15" hidden="false" customHeight="false" outlineLevel="0" collapsed="false">
      <c r="A45" s="110"/>
      <c r="G45" s="111"/>
    </row>
    <row r="46" customFormat="false" ht="15" hidden="false" customHeight="false" outlineLevel="0" collapsed="false">
      <c r="A46" s="110"/>
      <c r="G46" s="111"/>
    </row>
    <row r="47" customFormat="false" ht="15" hidden="false" customHeight="false" outlineLevel="0" collapsed="false">
      <c r="A47" s="110"/>
      <c r="G47" s="111"/>
    </row>
    <row r="48" customFormat="false" ht="15" hidden="false" customHeight="false" outlineLevel="0" collapsed="false">
      <c r="A48" s="110"/>
      <c r="G48" s="111"/>
    </row>
    <row r="49" customFormat="false" ht="15" hidden="false" customHeight="false" outlineLevel="0" collapsed="false">
      <c r="A49" s="110"/>
      <c r="G49" s="111"/>
    </row>
    <row r="50" customFormat="false" ht="15" hidden="false" customHeight="false" outlineLevel="0" collapsed="false">
      <c r="A50" s="110"/>
      <c r="G50" s="111"/>
    </row>
    <row r="51" customFormat="false" ht="15" hidden="false" customHeight="false" outlineLevel="0" collapsed="false">
      <c r="A51" s="110"/>
      <c r="G51" s="111"/>
    </row>
    <row r="52" customFormat="false" ht="15" hidden="false" customHeight="false" outlineLevel="0" collapsed="false">
      <c r="A52" s="110"/>
      <c r="G52" s="111"/>
    </row>
    <row r="53" customFormat="false" ht="15" hidden="false" customHeight="false" outlineLevel="0" collapsed="false">
      <c r="A53" s="110"/>
      <c r="G53" s="111"/>
    </row>
    <row r="54" customFormat="false" ht="15" hidden="false" customHeight="false" outlineLevel="0" collapsed="false">
      <c r="A54" s="110"/>
      <c r="G54" s="111"/>
    </row>
    <row r="55" customFormat="false" ht="15" hidden="false" customHeight="false" outlineLevel="0" collapsed="false">
      <c r="A55" s="110"/>
      <c r="G55" s="111"/>
    </row>
    <row r="56" customFormat="false" ht="15" hidden="false" customHeight="false" outlineLevel="0" collapsed="false">
      <c r="A56" s="110"/>
      <c r="G56" s="111"/>
    </row>
    <row r="57" customFormat="false" ht="15" hidden="false" customHeight="false" outlineLevel="0" collapsed="false">
      <c r="A57" s="110"/>
      <c r="G57" s="111"/>
    </row>
    <row r="58" customFormat="false" ht="15" hidden="false" customHeight="false" outlineLevel="0" collapsed="false">
      <c r="G58" s="111"/>
    </row>
    <row r="59" customFormat="false" ht="15" hidden="false" customHeight="false" outlineLevel="0" collapsed="false">
      <c r="A59" s="110" t="s">
        <v>128</v>
      </c>
      <c r="G59" s="111"/>
    </row>
    <row r="60" customFormat="false" ht="15" hidden="false" customHeight="false" outlineLevel="0" collapsed="false">
      <c r="A60" s="112"/>
      <c r="B60" s="113"/>
      <c r="C60" s="113"/>
      <c r="D60" s="113"/>
      <c r="E60" s="113"/>
      <c r="F60" s="113"/>
      <c r="G60" s="114"/>
    </row>
  </sheetData>
  <mergeCells count="3">
    <mergeCell ref="A1:C3"/>
    <mergeCell ref="D1:G1"/>
    <mergeCell ref="D2:F3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3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L14" activeCellId="0" sqref="L14"/>
    </sheetView>
  </sheetViews>
  <sheetFormatPr defaultRowHeight="15" zeroHeight="false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67.57"/>
    <col collapsed="false" customWidth="true" hidden="false" outlineLevel="0" max="3" min="3" style="0" width="12.14"/>
    <col collapsed="false" customWidth="true" hidden="false" outlineLevel="0" max="4" min="4" style="0" width="16.42"/>
    <col collapsed="false" customWidth="true" hidden="false" outlineLevel="0" max="5" min="5" style="0" width="19.71"/>
    <col collapsed="false" customWidth="true" hidden="false" outlineLevel="0" max="6" min="6" style="0" width="13.86"/>
    <col collapsed="false" customWidth="true" hidden="false" outlineLevel="0" max="1025" min="7" style="0" width="8.67"/>
  </cols>
  <sheetData>
    <row r="1" customFormat="false" ht="72" hidden="false" customHeight="true" outlineLevel="0" collapsed="false"/>
    <row r="2" customFormat="false" ht="18.75" hidden="false" customHeight="true" outlineLevel="0" collapsed="false">
      <c r="A2" s="115" t="s">
        <v>129</v>
      </c>
      <c r="B2" s="115"/>
      <c r="C2" s="115"/>
      <c r="D2" s="115"/>
    </row>
    <row r="4" customFormat="false" ht="15" hidden="false" customHeight="false" outlineLevel="0" collapsed="false">
      <c r="A4" s="116" t="s">
        <v>130</v>
      </c>
      <c r="B4" s="0" t="str">
        <f aca="false">'Orçamento Sintético'!C2</f>
        <v>MANUTENÇÃO DE AR CONDICIONADO - RIO VERDE</v>
      </c>
      <c r="C4" s="117" t="s">
        <v>131</v>
      </c>
      <c r="D4" s="118" t="n">
        <v>44796</v>
      </c>
    </row>
    <row r="6" customFormat="false" ht="15" hidden="false" customHeight="false" outlineLevel="0" collapsed="false">
      <c r="A6" s="119" t="s">
        <v>3</v>
      </c>
      <c r="B6" s="119" t="s">
        <v>4</v>
      </c>
      <c r="C6" s="119" t="s">
        <v>5</v>
      </c>
      <c r="D6" s="119" t="s">
        <v>132</v>
      </c>
    </row>
    <row r="7" customFormat="false" ht="15" hidden="false" customHeight="false" outlineLevel="0" collapsed="false">
      <c r="A7" s="120" t="s">
        <v>50</v>
      </c>
      <c r="B7" s="121" t="s">
        <v>51</v>
      </c>
      <c r="C7" s="122" t="s">
        <v>133</v>
      </c>
      <c r="D7" s="123" t="n">
        <f aca="false">ROUND(D10,2)</f>
        <v>17.96</v>
      </c>
    </row>
    <row r="8" customFormat="false" ht="15" hidden="false" customHeight="false" outlineLevel="0" collapsed="false">
      <c r="A8" s="122"/>
      <c r="B8" s="122"/>
      <c r="C8" s="122"/>
      <c r="D8" s="122"/>
    </row>
    <row r="9" customFormat="false" ht="15" hidden="false" customHeight="false" outlineLevel="0" collapsed="false">
      <c r="A9" s="124" t="s">
        <v>134</v>
      </c>
      <c r="B9" s="124" t="s">
        <v>135</v>
      </c>
      <c r="C9" s="124" t="s">
        <v>136</v>
      </c>
      <c r="D9" s="124" t="s">
        <v>137</v>
      </c>
    </row>
    <row r="10" customFormat="false" ht="30" hidden="false" customHeight="false" outlineLevel="0" collapsed="false">
      <c r="A10" s="122" t="s">
        <v>138</v>
      </c>
      <c r="B10" s="125" t="s">
        <v>139</v>
      </c>
      <c r="C10" s="126" t="n">
        <v>18.99</v>
      </c>
      <c r="D10" s="127" t="n">
        <f aca="false">IF(_xlfn.STDEV.S(C10:C12)/AVERAGE(C10:C12)&lt;0.25,AVERAGE(C10:C12),MEDIAN(C10:C12))</f>
        <v>17.9633333333333</v>
      </c>
    </row>
    <row r="11" customFormat="false" ht="55.5" hidden="false" customHeight="true" outlineLevel="0" collapsed="false">
      <c r="A11" s="122" t="s">
        <v>140</v>
      </c>
      <c r="B11" s="125" t="s">
        <v>141</v>
      </c>
      <c r="C11" s="126" t="n">
        <v>15</v>
      </c>
      <c r="D11" s="127"/>
    </row>
    <row r="12" customFormat="false" ht="45" hidden="false" customHeight="false" outlineLevel="0" collapsed="false">
      <c r="A12" s="122" t="s">
        <v>142</v>
      </c>
      <c r="B12" s="125" t="s">
        <v>143</v>
      </c>
      <c r="C12" s="126" t="n">
        <v>19.9</v>
      </c>
      <c r="D12" s="127"/>
    </row>
    <row r="14" customFormat="false" ht="15" hidden="false" customHeight="false" outlineLevel="0" collapsed="false">
      <c r="A14" s="119" t="s">
        <v>3</v>
      </c>
      <c r="B14" s="119" t="s">
        <v>4</v>
      </c>
      <c r="C14" s="119" t="s">
        <v>5</v>
      </c>
      <c r="D14" s="119" t="s">
        <v>132</v>
      </c>
    </row>
    <row r="15" customFormat="false" ht="15" hidden="false" customHeight="false" outlineLevel="0" collapsed="false">
      <c r="A15" s="120" t="s">
        <v>52</v>
      </c>
      <c r="B15" s="121" t="s">
        <v>53</v>
      </c>
      <c r="C15" s="122" t="s">
        <v>54</v>
      </c>
      <c r="D15" s="123" t="n">
        <f aca="false">ROUND(D18,2)</f>
        <v>66.57</v>
      </c>
    </row>
    <row r="16" customFormat="false" ht="15" hidden="false" customHeight="false" outlineLevel="0" collapsed="false">
      <c r="A16" s="122"/>
      <c r="B16" s="122"/>
      <c r="C16" s="122"/>
      <c r="D16" s="122"/>
    </row>
    <row r="17" customFormat="false" ht="15" hidden="false" customHeight="false" outlineLevel="0" collapsed="false">
      <c r="A17" s="124" t="s">
        <v>134</v>
      </c>
      <c r="B17" s="124" t="s">
        <v>135</v>
      </c>
      <c r="C17" s="124" t="s">
        <v>136</v>
      </c>
      <c r="D17" s="124" t="s">
        <v>137</v>
      </c>
    </row>
    <row r="18" customFormat="false" ht="45" hidden="false" customHeight="false" outlineLevel="0" collapsed="false">
      <c r="A18" s="122" t="s">
        <v>144</v>
      </c>
      <c r="B18" s="125" t="s">
        <v>145</v>
      </c>
      <c r="C18" s="126" t="n">
        <f aca="false">(733.5+88.15)/11.34</f>
        <v>72.4559082892416</v>
      </c>
      <c r="D18" s="127" t="n">
        <f aca="false">IF(_xlfn.STDEV.S(C18:C20)/AVERAGE(C18:C20)&lt;0.25,AVERAGE(C18:C20),MEDIAN(C18:C20))</f>
        <v>66.5728982951205</v>
      </c>
    </row>
    <row r="19" customFormat="false" ht="75" hidden="false" customHeight="false" outlineLevel="0" collapsed="false">
      <c r="A19" s="122" t="s">
        <v>146</v>
      </c>
      <c r="B19" s="125" t="s">
        <v>147</v>
      </c>
      <c r="C19" s="126" t="n">
        <f aca="false">(643.33+56.82)/11.34</f>
        <v>61.7416225749559</v>
      </c>
      <c r="D19" s="127"/>
    </row>
    <row r="20" customFormat="false" ht="45" hidden="false" customHeight="false" outlineLevel="0" collapsed="false">
      <c r="A20" s="122" t="s">
        <v>148</v>
      </c>
      <c r="B20" s="125" t="s">
        <v>149</v>
      </c>
      <c r="C20" s="126" t="n">
        <f aca="false">743.01/11.34</f>
        <v>65.521164021164</v>
      </c>
      <c r="D20" s="127"/>
    </row>
    <row r="22" customFormat="false" ht="15" hidden="false" customHeight="false" outlineLevel="0" collapsed="false">
      <c r="A22" s="119" t="s">
        <v>3</v>
      </c>
      <c r="B22" s="119" t="s">
        <v>4</v>
      </c>
      <c r="C22" s="119" t="s">
        <v>5</v>
      </c>
      <c r="D22" s="119" t="s">
        <v>132</v>
      </c>
    </row>
    <row r="23" customFormat="false" ht="30" hidden="false" customHeight="false" outlineLevel="0" collapsed="false">
      <c r="A23" s="120" t="s">
        <v>55</v>
      </c>
      <c r="B23" s="121" t="s">
        <v>56</v>
      </c>
      <c r="C23" s="122" t="s">
        <v>54</v>
      </c>
      <c r="D23" s="122" t="n">
        <f aca="false">ROUND(D26,2)</f>
        <v>780.37</v>
      </c>
    </row>
    <row r="24" customFormat="false" ht="15" hidden="false" customHeight="false" outlineLevel="0" collapsed="false">
      <c r="A24" s="122"/>
      <c r="B24" s="122"/>
      <c r="C24" s="122"/>
      <c r="D24" s="122"/>
    </row>
    <row r="25" customFormat="false" ht="15" hidden="false" customHeight="false" outlineLevel="0" collapsed="false">
      <c r="A25" s="124" t="s">
        <v>134</v>
      </c>
      <c r="B25" s="124" t="s">
        <v>135</v>
      </c>
      <c r="C25" s="124" t="s">
        <v>136</v>
      </c>
      <c r="D25" s="124" t="s">
        <v>137</v>
      </c>
    </row>
    <row r="26" customFormat="false" ht="30" hidden="false" customHeight="false" outlineLevel="0" collapsed="false">
      <c r="A26" s="122" t="s">
        <v>150</v>
      </c>
      <c r="B26" s="125" t="s">
        <v>151</v>
      </c>
      <c r="C26" s="126" t="n">
        <f aca="false">799+17.51</f>
        <v>816.51</v>
      </c>
      <c r="D26" s="127" t="n">
        <f aca="false">MEDIAN(C26:C29)</f>
        <v>780.365</v>
      </c>
    </row>
    <row r="27" customFormat="false" ht="30" hidden="false" customHeight="false" outlineLevel="0" collapsed="false">
      <c r="A27" s="122" t="s">
        <v>144</v>
      </c>
      <c r="B27" s="125" t="s">
        <v>152</v>
      </c>
      <c r="C27" s="126" t="n">
        <f aca="false">315+30.97</f>
        <v>345.97</v>
      </c>
      <c r="D27" s="127"/>
    </row>
    <row r="28" customFormat="false" ht="30" hidden="false" customHeight="false" outlineLevel="0" collapsed="false">
      <c r="A28" s="122" t="s">
        <v>153</v>
      </c>
      <c r="B28" s="125" t="s">
        <v>154</v>
      </c>
      <c r="C28" s="126" t="n">
        <f aca="false">759.9+18.84</f>
        <v>778.74</v>
      </c>
      <c r="D28" s="127"/>
    </row>
    <row r="29" customFormat="false" ht="45" hidden="false" customHeight="false" outlineLevel="0" collapsed="false">
      <c r="A29" s="122" t="s">
        <v>155</v>
      </c>
      <c r="B29" s="125" t="s">
        <v>156</v>
      </c>
      <c r="C29" s="126" t="n">
        <f aca="false">759+22.99</f>
        <v>781.99</v>
      </c>
      <c r="D29" s="127"/>
    </row>
    <row r="30" customFormat="false" ht="15" hidden="false" customHeight="false" outlineLevel="0" collapsed="false">
      <c r="A30" s="122"/>
      <c r="B30" s="125"/>
      <c r="C30" s="126"/>
      <c r="D30" s="128"/>
    </row>
    <row r="31" customFormat="false" ht="15" hidden="false" customHeight="false" outlineLevel="0" collapsed="false">
      <c r="A31" s="124" t="s">
        <v>157</v>
      </c>
      <c r="B31" s="124"/>
      <c r="C31" s="124"/>
      <c r="D31" s="124"/>
    </row>
    <row r="33" customFormat="false" ht="15" hidden="false" customHeight="false" outlineLevel="0" collapsed="false">
      <c r="A33" s="119" t="s">
        <v>3</v>
      </c>
      <c r="B33" s="119" t="s">
        <v>4</v>
      </c>
      <c r="C33" s="119" t="s">
        <v>5</v>
      </c>
      <c r="D33" s="119" t="s">
        <v>132</v>
      </c>
    </row>
    <row r="34" customFormat="false" ht="30" hidden="false" customHeight="false" outlineLevel="0" collapsed="false">
      <c r="A34" s="120" t="s">
        <v>89</v>
      </c>
      <c r="B34" s="121" t="s">
        <v>158</v>
      </c>
      <c r="C34" s="122" t="s">
        <v>159</v>
      </c>
      <c r="D34" s="123" t="n">
        <f aca="false">ROUND(D37,2)</f>
        <v>41.17</v>
      </c>
    </row>
    <row r="35" customFormat="false" ht="15" hidden="false" customHeight="false" outlineLevel="0" collapsed="false">
      <c r="A35" s="122"/>
      <c r="B35" s="122"/>
      <c r="C35" s="122"/>
      <c r="D35" s="122"/>
    </row>
    <row r="36" customFormat="false" ht="15" hidden="false" customHeight="false" outlineLevel="0" collapsed="false">
      <c r="A36" s="124" t="s">
        <v>134</v>
      </c>
      <c r="B36" s="124" t="s">
        <v>135</v>
      </c>
      <c r="C36" s="124" t="s">
        <v>136</v>
      </c>
      <c r="D36" s="124" t="s">
        <v>137</v>
      </c>
    </row>
    <row r="37" customFormat="false" ht="30" hidden="false" customHeight="false" outlineLevel="0" collapsed="false">
      <c r="A37" s="122" t="s">
        <v>144</v>
      </c>
      <c r="B37" s="125" t="s">
        <v>160</v>
      </c>
      <c r="C37" s="122" t="n">
        <v>51.65</v>
      </c>
      <c r="D37" s="127" t="n">
        <f aca="false">IF(_xlfn.STDEV.S(C37:C39)/AVERAGE(C37:C39)&lt;0.25,AVERAGE(C37:C39),MEDIAN(C37:C39))</f>
        <v>41.1666666666667</v>
      </c>
    </row>
    <row r="38" customFormat="false" ht="45" hidden="false" customHeight="false" outlineLevel="0" collapsed="false">
      <c r="A38" s="122" t="s">
        <v>161</v>
      </c>
      <c r="B38" s="125" t="s">
        <v>162</v>
      </c>
      <c r="C38" s="122" t="n">
        <v>38.1</v>
      </c>
      <c r="D38" s="127"/>
    </row>
    <row r="39" customFormat="false" ht="30" hidden="false" customHeight="false" outlineLevel="0" collapsed="false">
      <c r="A39" s="122" t="s">
        <v>163</v>
      </c>
      <c r="B39" s="125" t="s">
        <v>164</v>
      </c>
      <c r="C39" s="122" t="n">
        <v>33.75</v>
      </c>
      <c r="D39" s="127"/>
    </row>
  </sheetData>
  <mergeCells count="5">
    <mergeCell ref="A2:D2"/>
    <mergeCell ref="D10:D12"/>
    <mergeCell ref="D18:D20"/>
    <mergeCell ref="D26:D29"/>
    <mergeCell ref="D37:D39"/>
  </mergeCells>
  <hyperlinks>
    <hyperlink ref="B10" r:id="rId1" display="https://www.climanorte.com.br/pecas/pecas-ar-condicionado/bactericida-1lt-c-borrifador-talco?parceiro=5572"/>
    <hyperlink ref="B11" r:id="rId2" display="https://www.gelatudo.com.br/268?gclid=Cj0KCQjw0oyYBhDGARIsAMZEuMsnu3EsFp3tzdIUlhKheY4es--TSl_ShCgNBce51QBfFeoWQ4dzFOwaAl65EALw_wcB"/>
    <hyperlink ref="B12" r:id="rId3" display="https://www.refritron.com.br/material-para-instalacao-e-manutencao-de-ar/produtos-de-limpeza-e-higienizacao/bactericida-desinfetante-higienizador-c-borrifador-ar-condicionado-1-litro-talco-refritron"/>
    <hyperlink ref="B18" r:id="rId4" display="https://www.frigelar.com.br/gas-refrigerante-r410a-eos-cilindro-de-1134kg/p/kit5357?gclid=Cj0KCQjw9ZGYBhCEARIsAEUXITWbmrla6nttiTd_KJQ1pG2vMRfiaQPjzM9xoLw20lXWxmeetJfa0qoaAj9vEALw_wcB"/>
    <hyperlink ref="B19" r:id="rId5" display="https://www.dufrio.com.br/fluido-refrigerante-dugold-r410-113kg-onu-3163.html?utm_source=google&amp;utm_medium=shopping&amp;apwc=Y2FuYWxJbnRlZ3JhY2FvPTQ0N3xwcm9kdXRvPTg2NTc=&amp;gclid=Cj0KCQjw9ZGYBhCEARIsAEUXITV6_SKux7s_Jp8ZLdwN-zGtGjuYSDp4fCn25s5RNTEW16UqFcM8a2EaAg1SEALw_wcB"/>
    <hyperlink ref="B20" r:id="rId6" display="https://www.eletrofrigor.com.br/gas-r410a-eos-dac-11-34-kg.html?gclid=Cj0KCQjw9ZGYBhCEARIsAEUXITWMOxHJqtgqCApj09t1ZWc2oqXA_pLMPpzyCikWtWal6GIsVGgvYdQaAmHFEALw_wcB"/>
    <hyperlink ref="B26" r:id="rId7" display="https://www.samatec.com.br/manifold-r410-22-404-mangueira-150-mastercool--36661-e/p"/>
    <hyperlink ref="B27" r:id="rId8" display="https://www.frigelar.com.br/kit-de-manifold-profissional-eos-com-mangueira-de-12m-para-r22r134a407com410a-e-maleta/p/kit1473"/>
    <hyperlink ref="B28" r:id="rId9" display="https://www.lojadomecanico.com.br/produto/106729/11/157/kit-manifold-completo-com-3-mangueiras-dm-ferramentas-dm-030"/>
    <hyperlink ref="B29" r:id="rId10" display="https://www.madeiramadeira.com.br/kit-manifold-manometros-analogicos-gallant-r410a-r22-r134a-r404a-1821345.html?index=vr-prod-poc-madeira-best-seller-desc"/>
    <hyperlink ref="B37" r:id="rId11" display="https://www.frigelar.com.br/suporte-para-condensadora-eos-ate-45kgpar-500mm-perfil-u-slim-pintura-eletrostatica-500pux/p/kit426"/>
    <hyperlink ref="B38" r:id="rId12" display="https://www.multifrioshop.com/acessorios-ar-condicionado/suportes/suporte-para-ar-condicionado-split-500mm-12-000-a-24-000-btus"/>
    <hyperlink ref="B39" r:id="rId13" display="https://www.friopecas.com.br/suporte-500mm-para-ar-condicionado-split-18000-a-24000-btus/p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Reinaldo de Sa Moreira e Silva</dc:creator>
  <dc:description/>
  <dc:language>pt-BR</dc:language>
  <cp:lastModifiedBy>Reinaldo de Sa Moreira e Silva</cp:lastModifiedBy>
  <cp:lastPrinted>2022-08-25T17:03:25Z</cp:lastPrinted>
  <dcterms:modified xsi:type="dcterms:W3CDTF">2022-09-15T18:16:21Z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