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3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MPENSAÇÃO" sheetId="1" state="visible" r:id="rId2"/>
    <sheet name="ANÁPOLIS" sheetId="2" state="visible" r:id="rId3"/>
    <sheet name="APARECIDA_DE_GOIÂNIA" sheetId="3" state="visible" r:id="rId4"/>
    <sheet name="CALDAS_NOVAS" sheetId="4" state="visible" r:id="rId5"/>
    <sheet name="CATALÃO" sheetId="5" state="visible" r:id="rId6"/>
    <sheet name="CERES" sheetId="6" state="visible" r:id="rId7"/>
    <sheet name="FORMOSA" sheetId="7" state="visible" r:id="rId8"/>
    <sheet name="GOIANÉSIA" sheetId="8" state="visible" r:id="rId9"/>
    <sheet name="GOIÁS" sheetId="9" state="visible" r:id="rId10"/>
    <sheet name="GOIATUBA" sheetId="10" state="visible" r:id="rId11"/>
    <sheet name="INHUMAS" sheetId="11" state="visible" r:id="rId12"/>
    <sheet name="IPORÁ" sheetId="12" state="visible" r:id="rId13"/>
    <sheet name="ITUMBIARA" sheetId="13" state="visible" r:id="rId14"/>
    <sheet name="JATAÍ" sheetId="14" state="visible" r:id="rId15"/>
    <sheet name="LUZIÂNIA" sheetId="15" state="visible" r:id="rId16"/>
    <sheet name="MINEIROS" sheetId="16" state="visible" r:id="rId17"/>
    <sheet name="PALMEIRAS_DE_GOIÁS" sheetId="17" state="visible" r:id="rId18"/>
    <sheet name="PIRES_DO_RIO" sheetId="18" state="visible" r:id="rId19"/>
    <sheet name="PORANGATU" sheetId="19" state="visible" r:id="rId20"/>
    <sheet name="POSSE" sheetId="20" state="visible" r:id="rId21"/>
    <sheet name="QUIRINÓPOLIS" sheetId="21" state="visible" r:id="rId22"/>
    <sheet name="RIO_VERDE" sheetId="22" state="visible" r:id="rId23"/>
    <sheet name="SÃO_LUÍS_DE_MONTES_BELOS" sheetId="23" state="visible" r:id="rId24"/>
    <sheet name="URUAÇU" sheetId="24" state="visible" r:id="rId25"/>
    <sheet name="VALPARAÍSO" sheetId="25" state="visible" r:id="rId26"/>
    <sheet name="AV__PORTUGAL" sheetId="26" state="visible" r:id="rId27"/>
    <sheet name="ALMOXARIFADO" sheetId="27" state="visible" r:id="rId28"/>
    <sheet name="DEA_(R$)" sheetId="28" state="visible" r:id="rId29"/>
  </sheets>
  <definedNames>
    <definedName function="false" hidden="false" localSheetId="0" name="_xlnm.Print_Area" vbProcedure="false">COMPENSAÇÃO!$C$1:$N$38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<sst xmlns="http://schemas.openxmlformats.org/spreadsheetml/2006/main" count="3436" uniqueCount="162">
  <si>
    <t xml:space="preserve">TABELA DE CONSUMO DE ENERGIA X MÁXIMA CAPACIDADE DE GERAÇÃO POR TELHADO POR VARA DO TRABALHO</t>
  </si>
  <si>
    <t xml:space="preserve">E65</t>
  </si>
  <si>
    <t xml:space="preserve">E10</t>
  </si>
  <si>
    <t xml:space="preserve">E11</t>
  </si>
  <si>
    <t xml:space="preserve">E76</t>
  </si>
  <si>
    <t xml:space="preserve">E9</t>
  </si>
  <si>
    <t xml:space="preserve">Previsão</t>
  </si>
  <si>
    <t xml:space="preserve">ESTIMATIVA DE CONSUMO ANUAL - 2019</t>
  </si>
  <si>
    <t xml:space="preserve">LOCAL</t>
  </si>
  <si>
    <t xml:space="preserve">POTÊNCIA
(kWp)</t>
  </si>
  <si>
    <t xml:space="preserve">HSP</t>
  </si>
  <si>
    <t xml:space="preserve">FP</t>
  </si>
  <si>
    <t xml:space="preserve">PRODUÇÃO
(Wh)</t>
  </si>
  <si>
    <t xml:space="preserve">CONSUMO
(Wh)</t>
  </si>
  <si>
    <t xml:space="preserve">PERCENTUAL
CONSUMO/GERAÇÃO</t>
  </si>
  <si>
    <t xml:space="preserve">SOBRA
(kWh)</t>
  </si>
  <si>
    <t xml:space="preserve">SOBRA
(%)</t>
  </si>
  <si>
    <t xml:space="preserve">VALOR TOTAL EQUIPAMENTOS (R$)</t>
  </si>
  <si>
    <t xml:space="preserve">GASTO ANUAL COM ENERGIA (R$)</t>
  </si>
  <si>
    <t xml:space="preserve">TARIFA BRANCA</t>
  </si>
  <si>
    <t xml:space="preserve">ok</t>
  </si>
  <si>
    <t xml:space="preserve">AT¨</t>
  </si>
  <si>
    <t xml:space="preserve">Barra</t>
  </si>
  <si>
    <t xml:space="preserve">Confresa</t>
  </si>
  <si>
    <t xml:space="preserve">BT</t>
  </si>
  <si>
    <t xml:space="preserve">Diamantino</t>
  </si>
  <si>
    <t xml:space="preserve">Lucas do Rio Verde</t>
  </si>
  <si>
    <t xml:space="preserve">CERES</t>
  </si>
  <si>
    <t xml:space="preserve">Primavera do Leste</t>
  </si>
  <si>
    <t xml:space="preserve">Reforma</t>
  </si>
  <si>
    <t xml:space="preserve">Valor Janeiro brm maior</t>
  </si>
  <si>
    <t xml:space="preserve">FÓRUM (CAPITAL)</t>
  </si>
  <si>
    <t xml:space="preserve">Totais:</t>
  </si>
  <si>
    <t xml:space="preserve">Total Consumo VT alimentadas em BT</t>
  </si>
  <si>
    <t xml:space="preserve">VTs objeto da Contratação</t>
  </si>
  <si>
    <t xml:space="preserve">AT</t>
  </si>
  <si>
    <t xml:space="preserve">TOTAL</t>
  </si>
  <si>
    <t xml:space="preserve">SORRISO</t>
  </si>
  <si>
    <t xml:space="preserve">SINOP</t>
  </si>
  <si>
    <t xml:space="preserve">CMM</t>
  </si>
  <si>
    <t xml:space="preserve">kWh</t>
  </si>
  <si>
    <t xml:space="preserve">PMM</t>
  </si>
  <si>
    <t xml:space="preserve">dos 39kWp do sistema</t>
  </si>
  <si>
    <t xml:space="preserve">dos 75kWp do sistema</t>
  </si>
  <si>
    <t xml:space="preserve">ANÁPOLIS</t>
  </si>
  <si>
    <t xml:space="preserve">Tensão de fornecimento</t>
  </si>
  <si>
    <t xml:space="preserve">Telhado</t>
  </si>
  <si>
    <t xml:space="preserve">m²</t>
  </si>
  <si>
    <t xml:space="preserve">Coordenadas</t>
  </si>
  <si>
    <t xml:space="preserve">(-16.3287,-48.9534)</t>
  </si>
  <si>
    <t xml:space="preserve">Energia anual (EA)</t>
  </si>
  <si>
    <t xml:space="preserve">=CMM*12</t>
  </si>
  <si>
    <t xml:space="preserve">Irradiação</t>
  </si>
  <si>
    <t xml:space="preserve">de acordo com as Coordenadas</t>
  </si>
  <si>
    <t xml:space="preserve">kWh/m²*dia</t>
  </si>
  <si>
    <t xml:space="preserve">PR</t>
  </si>
  <si>
    <t xml:space="preserve">de acordo com HSP</t>
  </si>
  <si>
    <t xml:space="preserve">Produtividade Máxima (Y) (da região)</t>
  </si>
  <si>
    <t xml:space="preserve">=(irradiação*365*PR)</t>
  </si>
  <si>
    <t xml:space="preserve">kWh/kWp</t>
  </si>
  <si>
    <t xml:space="preserve">CÁLCULO PARA ZERAR FATURA</t>
  </si>
  <si>
    <t xml:space="preserve">Capacidade necessária (CI)</t>
  </si>
  <si>
    <t xml:space="preserve">=(energia anual/produtividade)</t>
  </si>
  <si>
    <t xml:space="preserve">kWp</t>
  </si>
  <si>
    <t xml:space="preserve">OPÇÃO 1</t>
  </si>
  <si>
    <t xml:space="preserve">Potência do painel</t>
  </si>
  <si>
    <t xml:space="preserve">Wp</t>
  </si>
  <si>
    <t xml:space="preserve">Quantidade de painéis</t>
  </si>
  <si>
    <t xml:space="preserve">=(capacidade necessária/potência do painel)</t>
  </si>
  <si>
    <t xml:space="preserve">un</t>
  </si>
  <si>
    <t xml:space="preserve">Área do painel</t>
  </si>
  <si>
    <t xml:space="preserve">Área a ser ocupada</t>
  </si>
  <si>
    <t xml:space="preserve">=(quantidade de painéis*área do painel)</t>
  </si>
  <si>
    <t xml:space="preserve">Valor do painel</t>
  </si>
  <si>
    <t xml:space="preserve">R$</t>
  </si>
  <si>
    <t xml:space="preserve">Valor total dos painéis</t>
  </si>
  <si>
    <t xml:space="preserve">OPÇÃO 2</t>
  </si>
  <si>
    <t xml:space="preserve">CÁLCULO CONFORME CAPACIDADE DO TELHADO</t>
  </si>
  <si>
    <t xml:space="preserve">Área disponível</t>
  </si>
  <si>
    <t xml:space="preserve">=(0,8*área de telhado)</t>
  </si>
  <si>
    <t xml:space="preserve">=(área disponível/área do painel)</t>
  </si>
  <si>
    <t xml:space="preserve">Quantidade de painéis a ser considerada</t>
  </si>
  <si>
    <t xml:space="preserve">Capacidade instalada</t>
  </si>
  <si>
    <t xml:space="preserve">=(quantidade de painéis*potência do painel)/1000</t>
  </si>
  <si>
    <t xml:space="preserve">Energia anual produzida</t>
  </si>
  <si>
    <t xml:space="preserve">=(capacidade instalada*produtividade)</t>
  </si>
  <si>
    <t xml:space="preserve">Energia anual consumida</t>
  </si>
  <si>
    <t xml:space="preserve">Relação entre consumo e produção</t>
  </si>
  <si>
    <t xml:space="preserve">=(energia consumida/energia produzida)</t>
  </si>
  <si>
    <t xml:space="preserve">%</t>
  </si>
  <si>
    <t xml:space="preserve">CARACTERÍSTICAS DO INVERSOR FRONIUS SYMO 20 kW</t>
  </si>
  <si>
    <t xml:space="preserve">Potência máxima</t>
  </si>
  <si>
    <t xml:space="preserve">Preço (R$)</t>
  </si>
  <si>
    <t xml:space="preserve">CARACTERÍSTICAS DO INVERSOR FRONIUS SYMO 15 kW</t>
  </si>
  <si>
    <t xml:space="preserve">CARACTERÍSTICAS DO INVERSOR SMA 25 Kw</t>
  </si>
  <si>
    <t xml:space="preserve">CÁLCULO CONFORME CAPACIDADE DOS INVERSORES</t>
  </si>
  <si>
    <t xml:space="preserve">QTDE</t>
  </si>
  <si>
    <t xml:space="preserve">Inversor FRONIUS SYMO 15kW</t>
  </si>
  <si>
    <t xml:space="preserve">=(potência máxima/potência do painel)*1000</t>
  </si>
  <si>
    <t xml:space="preserve">Área ocupada</t>
  </si>
  <si>
    <t xml:space="preserve">Wh</t>
  </si>
  <si>
    <t xml:space="preserve">Valor total dos inversores</t>
  </si>
  <si>
    <t xml:space="preserve">Valor total dos equipamentos</t>
  </si>
  <si>
    <t xml:space="preserve">=(quantidade de painéis/potência do painel)*1000</t>
  </si>
  <si>
    <t xml:space="preserve">APARECIDA_DE_GOIÂNIA</t>
  </si>
  <si>
    <t xml:space="preserve">( -16.823,-49.2422)</t>
  </si>
  <si>
    <t xml:space="preserve">procurar coordenada google, escreve "coordenada geografica de barra do garça"</t>
  </si>
  <si>
    <t xml:space="preserve">levantar consumo do último ano por mês</t>
  </si>
  <si>
    <t xml:space="preserve">entrar com coordenadas em :http://www.cresesb.cepel.br/index.php?section=sundata</t>
  </si>
  <si>
    <t xml:space="preserve">Produtividade (Y)</t>
  </si>
  <si>
    <t xml:space="preserve">CALDAS_NOVAS</t>
  </si>
  <si>
    <t xml:space="preserve">( -17.7452,-48.6253)</t>
  </si>
  <si>
    <t xml:space="preserve">=(CMM-Tarifa de disponibilidade)*12</t>
  </si>
  <si>
    <t xml:space="preserve">Para unidades consumidoras do Grupo A, a capacidade do sistema deve ser igual ou inferior à demanda contratada.</t>
  </si>
  <si>
    <t xml:space="preserve">A previsão de demanda a ser contratada para Lucas é de 45kW para 2VTs</t>
  </si>
  <si>
    <t xml:space="preserve">CATALÃO</t>
  </si>
  <si>
    <t xml:space="preserve">( -18.1721, -47.9415)</t>
  </si>
  <si>
    <t xml:space="preserve">(-15.3136,-49.6033)</t>
  </si>
  <si>
    <t xml:space="preserve">FORMOSA</t>
  </si>
  <si>
    <t xml:space="preserve">(-15.537,-47.3357)</t>
  </si>
  <si>
    <t xml:space="preserve">GOIANÉSIA</t>
  </si>
  <si>
    <t xml:space="preserve">(-15.3259,-49.1173)</t>
  </si>
  <si>
    <t xml:space="preserve">GOIÁS</t>
  </si>
  <si>
    <t xml:space="preserve">( -15.9225,-50.1379)</t>
  </si>
  <si>
    <t xml:space="preserve">GOIATUBA</t>
  </si>
  <si>
    <t xml:space="preserve">(-18.011,-49.3695)</t>
  </si>
  <si>
    <t xml:space="preserve">INHUMAS</t>
  </si>
  <si>
    <t xml:space="preserve">(-16.3553,-49.4931)</t>
  </si>
  <si>
    <t xml:space="preserve">IPORÁ</t>
  </si>
  <si>
    <t xml:space="preserve">(-16.45,-54.64)</t>
  </si>
  <si>
    <t xml:space="preserve">ITUMBIARA</t>
  </si>
  <si>
    <t xml:space="preserve">(-18.4216,-49.2155)</t>
  </si>
  <si>
    <t xml:space="preserve">JATAÍ</t>
  </si>
  <si>
    <t xml:space="preserve">( -17.8759, -51.7214)</t>
  </si>
  <si>
    <t xml:space="preserve">LUZIÂNIA</t>
  </si>
  <si>
    <t xml:space="preserve">( -16.2345, -47.9167)</t>
  </si>
  <si>
    <t xml:space="preserve">MINEIROS</t>
  </si>
  <si>
    <t xml:space="preserve">( -17.5787, -52.5424)</t>
  </si>
  <si>
    <t xml:space="preserve">PALMEIRAS_DE_GOIÁS</t>
  </si>
  <si>
    <t xml:space="preserve">(-16.7895, -49.9327)</t>
  </si>
  <si>
    <t xml:space="preserve">PIRES_DO_RIO</t>
  </si>
  <si>
    <t xml:space="preserve">(-17.3006, -48.2836)</t>
  </si>
  <si>
    <t xml:space="preserve">PORANGATU</t>
  </si>
  <si>
    <t xml:space="preserve">(-13.4312, -49.1428)</t>
  </si>
  <si>
    <t xml:space="preserve">POSSE</t>
  </si>
  <si>
    <t xml:space="preserve">(-14,101, -46,349)</t>
  </si>
  <si>
    <t xml:space="preserve">QUIRINÓPOLIS</t>
  </si>
  <si>
    <t xml:space="preserve">(-18.4482, -50.4466)</t>
  </si>
  <si>
    <t xml:space="preserve">RIO_VERDE</t>
  </si>
  <si>
    <t xml:space="preserve">(-17.7972, -50.9)</t>
  </si>
  <si>
    <t xml:space="preserve">SÃO_LUÍS_DE_MONTES_BELOS</t>
  </si>
  <si>
    <t xml:space="preserve">(-16.5222, -50.3801)</t>
  </si>
  <si>
    <t xml:space="preserve">URUAÇU</t>
  </si>
  <si>
    <t xml:space="preserve">(-14.5258, -49.1573)</t>
  </si>
  <si>
    <t xml:space="preserve">VALPARAÍSO</t>
  </si>
  <si>
    <t xml:space="preserve">(-16.0687, -47.9766)</t>
  </si>
  <si>
    <t xml:space="preserve">AV__PORTUGAL</t>
  </si>
  <si>
    <t xml:space="preserve">(-16.6799, -49.255)</t>
  </si>
  <si>
    <t xml:space="preserve">ALMOXARIFADO</t>
  </si>
  <si>
    <t xml:space="preserve">Despesa Energética Anual (R$)</t>
  </si>
  <si>
    <t xml:space="preserve">Referência</t>
  </si>
  <si>
    <t xml:space="preserve">FÓRUM</t>
  </si>
</sst>
</file>

<file path=xl/styles.xml><?xml version="1.0" encoding="utf-8"?>
<styleSheet xmlns="http://schemas.openxmlformats.org/spreadsheetml/2006/main">
  <numFmts count="14">
    <numFmt numFmtId="164" formatCode="General"/>
    <numFmt numFmtId="165" formatCode="#,##0.00\ ;#,##0.00\ ;\-#\ ;\ @\ "/>
    <numFmt numFmtId="166" formatCode="[$R$-416]\ #,##0.00;[RED]\-[$R$-416]\ #,##0.00"/>
    <numFmt numFmtId="167" formatCode="General"/>
    <numFmt numFmtId="168" formatCode="#,##0.00"/>
    <numFmt numFmtId="169" formatCode="0%"/>
    <numFmt numFmtId="170" formatCode="0.00%"/>
    <numFmt numFmtId="171" formatCode="#,##0.00\ "/>
    <numFmt numFmtId="172" formatCode="#,##0"/>
    <numFmt numFmtId="173" formatCode="_-* #,##0.00_-;\-* #,##0.00_-;_-* \-??_-;_-@_-"/>
    <numFmt numFmtId="174" formatCode="_-* #,##0_-;\-* #,##0_-;_-* \-??_-;_-@_-"/>
    <numFmt numFmtId="175" formatCode="0.00"/>
    <numFmt numFmtId="176" formatCode="[$-416]MMM/YY"/>
    <numFmt numFmtId="177" formatCode="[$-416]D/M/YYYY"/>
  </numFmts>
  <fonts count="2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i val="true"/>
      <sz val="16"/>
      <color rgb="FF000000"/>
      <name val="Calibri"/>
      <family val="2"/>
      <charset val="1"/>
    </font>
    <font>
      <u val="single"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 val="true"/>
      <i val="true"/>
      <u val="single"/>
      <sz val="11"/>
      <color rgb="FF000000"/>
      <name val="Calibri"/>
      <family val="2"/>
      <charset val="1"/>
    </font>
    <font>
      <b val="true"/>
      <sz val="15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u val="single"/>
      <sz val="11"/>
      <color rgb="FF0563C1"/>
      <name val="Calibri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BDD7EE"/>
      </patternFill>
    </fill>
    <fill>
      <patternFill patternType="solid">
        <fgColor rgb="FFFFCCCC"/>
        <bgColor rgb="FFF8CBA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2CC"/>
      </patternFill>
    </fill>
    <fill>
      <patternFill patternType="solid">
        <fgColor rgb="FFBDD7EE"/>
        <bgColor rgb="FFDDDDDD"/>
      </patternFill>
    </fill>
    <fill>
      <patternFill patternType="solid">
        <fgColor rgb="FFFFF2CC"/>
        <bgColor rgb="FFFFFFCC"/>
      </patternFill>
    </fill>
    <fill>
      <patternFill patternType="solid">
        <fgColor rgb="FFA9D18E"/>
        <bgColor rgb="FFC5E0B4"/>
      </patternFill>
    </fill>
    <fill>
      <patternFill patternType="solid">
        <fgColor rgb="FFADB9CA"/>
        <bgColor rgb="FFA9D18E"/>
      </patternFill>
    </fill>
    <fill>
      <patternFill patternType="solid">
        <fgColor rgb="FFCCFFFF"/>
        <bgColor rgb="FFCCFFCC"/>
      </patternFill>
    </fill>
    <fill>
      <patternFill patternType="solid">
        <fgColor rgb="FFF8CBAD"/>
        <bgColor rgb="FFFFCCCC"/>
      </patternFill>
    </fill>
    <fill>
      <patternFill patternType="solid">
        <fgColor rgb="FFFF0000"/>
        <bgColor rgb="FFCC000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5E0B4"/>
        <bgColor rgb="FFDDDDDD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</borders>
  <cellStyleXfs count="4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2" fontId="1" fillId="0" borderId="0" applyFont="true" applyBorder="false" applyAlignment="false" applyProtection="false"/>
    <xf numFmtId="169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9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9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9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9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9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9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9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1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1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1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1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10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1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1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19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1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11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11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1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11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11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11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0" fillId="1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4" fontId="18" fillId="12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4" fontId="22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0" xfId="19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4" fontId="0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0" fillId="0" borderId="0" xfId="19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2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0" fillId="0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20" fillId="0" borderId="0" xfId="19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3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0" xfId="19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3" fontId="0" fillId="0" borderId="0" xfId="19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1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13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0" fillId="13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0" fillId="13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0" xfId="19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1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1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1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15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1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8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18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1" fillId="0" borderId="6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21" fillId="0" borderId="6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9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21" fillId="17" borderId="6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7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1"/>
    <cellStyle name="Accent 2 6" xfId="22"/>
    <cellStyle name="Accent 3 7" xfId="23"/>
    <cellStyle name="Accent 4" xfId="24"/>
    <cellStyle name="Bad 8" xfId="25"/>
    <cellStyle name="Error 9" xfId="26"/>
    <cellStyle name="Footnote 10" xfId="27"/>
    <cellStyle name="Good 11" xfId="28"/>
    <cellStyle name="Heading (user) 12" xfId="29"/>
    <cellStyle name="Heading 1 13" xfId="30"/>
    <cellStyle name="Heading 2 14" xfId="31"/>
    <cellStyle name="Heading1" xfId="32"/>
    <cellStyle name="Hyperlink 15" xfId="33"/>
    <cellStyle name="Moeda 2" xfId="34"/>
    <cellStyle name="Neutral 16" xfId="35"/>
    <cellStyle name="Note 17" xfId="36"/>
    <cellStyle name="Result" xfId="37"/>
    <cellStyle name="Result2" xfId="38"/>
    <cellStyle name="Status 18" xfId="39"/>
    <cellStyle name="Text 19" xfId="40"/>
    <cellStyle name="Vírgula 2" xfId="41"/>
    <cellStyle name="Warning 20" xfId="42"/>
    <cellStyle name="*unknown*" xfId="20" builtinId="8"/>
  </cellStyles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ADB9CA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2CC"/>
      <rgbColor rgb="FFC5E0B4"/>
      <rgbColor rgb="FFFFCC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9D18E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sharedStrings" Target="sharedStrings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://www.cresesb.cepel.br/index.php?section=sundata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2:BM88"/>
  <sheetViews>
    <sheetView showFormulas="false" showGridLines="fals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I6" activeCellId="0" sqref="I6"/>
    </sheetView>
  </sheetViews>
  <sheetFormatPr defaultColWidth="8.6875" defaultRowHeight="15" zeroHeight="false" outlineLevelRow="0" outlineLevelCol="0"/>
  <cols>
    <col collapsed="false" customWidth="true" hidden="true" outlineLevel="0" max="2" min="2" style="0" width="9"/>
    <col collapsed="false" customWidth="true" hidden="false" outlineLevel="0" max="3" min="3" style="0" width="29.29"/>
    <col collapsed="false" customWidth="true" hidden="false" outlineLevel="0" max="4" min="4" style="0" width="12.57"/>
    <col collapsed="false" customWidth="true" hidden="false" outlineLevel="0" max="6" min="5" style="0" width="9"/>
    <col collapsed="false" customWidth="true" hidden="false" outlineLevel="0" max="7" min="7" style="0" width="13.43"/>
    <col collapsed="false" customWidth="true" hidden="false" outlineLevel="0" max="8" min="8" style="0" width="13.7"/>
    <col collapsed="false" customWidth="true" hidden="false" outlineLevel="0" max="9" min="9" style="0" width="21.71"/>
    <col collapsed="false" customWidth="true" hidden="false" outlineLevel="0" max="10" min="10" style="0" width="11.57"/>
    <col collapsed="false" customWidth="true" hidden="false" outlineLevel="0" max="11" min="11" style="0" width="13.7"/>
    <col collapsed="false" customWidth="true" hidden="false" outlineLevel="0" max="12" min="12" style="0" width="16.42"/>
    <col collapsed="false" customWidth="true" hidden="false" outlineLevel="0" max="13" min="13" style="0" width="14.7"/>
    <col collapsed="false" customWidth="true" hidden="false" outlineLevel="0" max="14" min="14" style="0" width="9"/>
    <col collapsed="false" customWidth="true" hidden="false" outlineLevel="0" max="15" min="15" style="0" width="15.15"/>
    <col collapsed="false" customWidth="true" hidden="true" outlineLevel="0" max="16" min="16" style="0" width="9"/>
    <col collapsed="false" customWidth="true" hidden="true" outlineLevel="0" max="17" min="17" style="0" width="12.57"/>
    <col collapsed="false" customWidth="true" hidden="false" outlineLevel="0" max="18" min="18" style="0" width="12.14"/>
    <col collapsed="false" customWidth="true" hidden="false" outlineLevel="0" max="19" min="19" style="0" width="12.57"/>
    <col collapsed="false" customWidth="true" hidden="false" outlineLevel="0" max="20" min="20" style="0" width="14.01"/>
    <col collapsed="false" customWidth="true" hidden="false" outlineLevel="0" max="21" min="21" style="0" width="14.7"/>
    <col collapsed="false" customWidth="true" hidden="false" outlineLevel="0" max="22" min="22" style="0" width="12.57"/>
    <col collapsed="false" customWidth="true" hidden="false" outlineLevel="0" max="23" min="23" style="0" width="10.58"/>
    <col collapsed="false" customWidth="true" hidden="false" outlineLevel="0" max="65" min="24" style="0" width="9"/>
  </cols>
  <sheetData>
    <row r="2" customFormat="false" ht="19.5" hidden="false" customHeight="false" outlineLevel="0" collapsed="false">
      <c r="C2" s="1" t="s">
        <v>0</v>
      </c>
    </row>
    <row r="3" customFormat="false" ht="19.5" hidden="false" customHeight="false" outlineLevel="0" collapsed="false">
      <c r="C3" s="1"/>
    </row>
    <row r="4" customFormat="false" ht="15" hidden="true" customHeight="false" outlineLevel="0" collapsed="false">
      <c r="B4" s="2"/>
      <c r="C4" s="2"/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/>
      <c r="J4" s="2"/>
      <c r="K4" s="2"/>
      <c r="L4" s="2" t="s">
        <v>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</row>
    <row r="5" customFormat="false" ht="15" hidden="false" customHeight="false" outlineLevel="0" collapsed="false">
      <c r="C5" s="4"/>
      <c r="D5" s="5" t="s">
        <v>7</v>
      </c>
      <c r="E5" s="5"/>
      <c r="F5" s="5"/>
      <c r="G5" s="5"/>
      <c r="H5" s="5"/>
      <c r="I5" s="5"/>
      <c r="J5" s="5"/>
      <c r="K5" s="5"/>
      <c r="L5" s="6"/>
      <c r="M5" s="6"/>
    </row>
    <row r="6" customFormat="false" ht="56.25" hidden="false" customHeight="true" outlineLevel="0" collapsed="false">
      <c r="C6" s="7" t="s">
        <v>8</v>
      </c>
      <c r="D6" s="8" t="s">
        <v>9</v>
      </c>
      <c r="E6" s="7" t="s">
        <v>10</v>
      </c>
      <c r="F6" s="7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O6" s="9"/>
      <c r="P6" s="9"/>
      <c r="Q6" s="9"/>
      <c r="R6" s="9"/>
      <c r="W6" s="0" t="s">
        <v>19</v>
      </c>
    </row>
    <row r="7" customFormat="false" ht="15" hidden="false" customHeight="false" outlineLevel="0" collapsed="false">
      <c r="B7" s="0" t="s">
        <v>20</v>
      </c>
      <c r="C7" s="10" t="str">
        <f aca="false">ANÁPOLIS!B5</f>
        <v>ANÁPOLIS</v>
      </c>
      <c r="D7" s="11" t="n">
        <f aca="true">VLOOKUP("Inversor FRONIUS SYMO 15kW",INDIRECT(C7&amp;"!B:E"),4,0)</f>
        <v>22.5</v>
      </c>
      <c r="E7" s="12" t="n">
        <f aca="true">VLOOKUP("Irradiação",INDIRECT("'"&amp;C7&amp;"'!B:E"),4,0)</f>
        <v>5.2</v>
      </c>
      <c r="F7" s="13" t="n">
        <f aca="true">VLOOKUP("PR",INDIRECT("'"&amp;C7&amp;"'!B:E"),4,0)</f>
        <v>0.75</v>
      </c>
      <c r="G7" s="12" t="n">
        <f aca="false">ANÁPOLIS!E103</f>
        <v>31950.46</v>
      </c>
      <c r="H7" s="12" t="n">
        <f aca="true">VLOOKUP("Energia anual (EA)",INDIRECT("'"&amp;C7&amp;"'!B:E"),4,0)</f>
        <v>73551.49</v>
      </c>
      <c r="I7" s="14" t="n">
        <f aca="false">H7/G7</f>
        <v>2.302</v>
      </c>
      <c r="J7" s="12" t="n">
        <f aca="false">G7-H7</f>
        <v>-41601.03</v>
      </c>
      <c r="K7" s="15" t="n">
        <f aca="false">1-I7</f>
        <v>-1.302</v>
      </c>
      <c r="L7" s="12" t="n">
        <f aca="true">VLOOKUP("Valor total dos equipamentos",INDIRECT("'"&amp;C7&amp;"'!B:E"),4,0)</f>
        <v>77202</v>
      </c>
      <c r="M7" s="16" t="n">
        <f aca="false">'DEA_(R$)'!B2</f>
        <v>71423.28</v>
      </c>
      <c r="N7" s="17" t="s">
        <v>21</v>
      </c>
      <c r="R7" s="18"/>
      <c r="S7" s="19"/>
      <c r="U7" s="20"/>
      <c r="W7" s="0" t="s">
        <v>22</v>
      </c>
    </row>
    <row r="8" customFormat="false" ht="15" hidden="false" customHeight="false" outlineLevel="0" collapsed="false">
      <c r="B8" s="0" t="s">
        <v>20</v>
      </c>
      <c r="C8" s="10" t="str">
        <f aca="false">APARECIDA_DE_GOIÂNIA!B5</f>
        <v>APARECIDA_DE_GOIÂNIA</v>
      </c>
      <c r="D8" s="11" t="n">
        <f aca="true">VLOOKUP("Inversor FRONIUS SYMO 15kW",INDIRECT(C8&amp;"!B:E"),4,0)</f>
        <v>135</v>
      </c>
      <c r="E8" s="12" t="n">
        <f aca="true">VLOOKUP("Irradiação",INDIRECT("'"&amp;C8&amp;"'!B:E"),4,0)</f>
        <v>5.26</v>
      </c>
      <c r="F8" s="13" t="n">
        <f aca="true">VLOOKUP("PR",INDIRECT("'"&amp;C8&amp;"'!B:E"),4,0)</f>
        <v>0.75</v>
      </c>
      <c r="G8" s="12" t="n">
        <f aca="false">APARECIDA_DE_GOIÂNIA!E103</f>
        <v>193915.37</v>
      </c>
      <c r="H8" s="12" t="n">
        <f aca="true">VLOOKUP("Energia anual (EA)",INDIRECT("'"&amp;C8&amp;"'!B:E"),4,0)</f>
        <v>66200.44</v>
      </c>
      <c r="I8" s="14" t="n">
        <f aca="false">H8/G8</f>
        <v>0.3414</v>
      </c>
      <c r="J8" s="12" t="n">
        <f aca="false">G8-H8</f>
        <v>127714.93</v>
      </c>
      <c r="K8" s="15" t="n">
        <f aca="false">1-I8</f>
        <v>0.6586</v>
      </c>
      <c r="L8" s="12" t="n">
        <f aca="true">VLOOKUP("Valor total dos equipamentos",INDIRECT("'"&amp;C8&amp;"'!B:E"),4,0)</f>
        <v>463212</v>
      </c>
      <c r="M8" s="16" t="n">
        <f aca="false">'DEA_(R$)'!B3</f>
        <v>54944.66</v>
      </c>
      <c r="N8" s="17" t="s">
        <v>21</v>
      </c>
      <c r="R8" s="18"/>
      <c r="S8" s="19"/>
      <c r="U8" s="20"/>
      <c r="W8" s="0" t="s">
        <v>23</v>
      </c>
    </row>
    <row r="9" customFormat="false" ht="15" hidden="false" customHeight="false" outlineLevel="0" collapsed="false">
      <c r="B9" s="0" t="s">
        <v>20</v>
      </c>
      <c r="C9" s="21" t="str">
        <f aca="false">CALDAS_NOVAS!B5</f>
        <v>CALDAS_NOVAS</v>
      </c>
      <c r="D9" s="22" t="n">
        <f aca="true">VLOOKUP("Inversor FRONIUS SYMO 15kW",INDIRECT(C9&amp;"!B:E"),4,0)</f>
        <v>45</v>
      </c>
      <c r="E9" s="23" t="n">
        <f aca="true">VLOOKUP("Irradiação",INDIRECT("'"&amp;C9&amp;"'!B:E"),4,0)</f>
        <v>5.26</v>
      </c>
      <c r="F9" s="24" t="n">
        <f aca="true">VLOOKUP("PR",INDIRECT("'"&amp;C9&amp;"'!B:E"),4,0)</f>
        <v>0.75</v>
      </c>
      <c r="G9" s="23" t="n">
        <f aca="false">CALDAS_NOVAS!E103</f>
        <v>64638.46</v>
      </c>
      <c r="H9" s="23" t="n">
        <f aca="true">VLOOKUP("Energia anual (EA)",INDIRECT("'"&amp;C9&amp;"'!B:E"),4,0)</f>
        <v>32825.16</v>
      </c>
      <c r="I9" s="25" t="n">
        <f aca="false">H9/G9</f>
        <v>0.5078</v>
      </c>
      <c r="J9" s="23" t="n">
        <f aca="false">G9-H9</f>
        <v>31813.3</v>
      </c>
      <c r="K9" s="26" t="n">
        <f aca="false">1-I9</f>
        <v>0.4922</v>
      </c>
      <c r="L9" s="23" t="n">
        <f aca="true">VLOOKUP("Valor total dos equipamentos",INDIRECT("'"&amp;C9&amp;"'!B:E"),4,0)</f>
        <v>153064</v>
      </c>
      <c r="M9" s="27" t="n">
        <f aca="false">'DEA_(R$)'!B4</f>
        <v>28920.9</v>
      </c>
      <c r="N9" s="28" t="s">
        <v>24</v>
      </c>
      <c r="R9" s="18"/>
      <c r="S9" s="19"/>
      <c r="U9" s="20"/>
      <c r="W9" s="0" t="s">
        <v>25</v>
      </c>
    </row>
    <row r="10" customFormat="false" ht="15" hidden="false" customHeight="false" outlineLevel="0" collapsed="false">
      <c r="B10" s="0" t="s">
        <v>20</v>
      </c>
      <c r="C10" s="21" t="str">
        <f aca="false">CATALÃO!B5</f>
        <v>CATALÃO</v>
      </c>
      <c r="D10" s="22" t="n">
        <f aca="true">VLOOKUP("Inversor FRONIUS SYMO 15kW",INDIRECT(C10&amp;"!B:E"),4,0)</f>
        <v>45</v>
      </c>
      <c r="E10" s="23" t="n">
        <f aca="true">VLOOKUP("Irradiação",INDIRECT("'"&amp;C10&amp;"'!B:E"),4,0)</f>
        <v>5.3</v>
      </c>
      <c r="F10" s="24" t="n">
        <f aca="true">VLOOKUP("PR",INDIRECT("'"&amp;C10&amp;"'!B:E"),4,0)</f>
        <v>0.75</v>
      </c>
      <c r="G10" s="23" t="n">
        <f aca="false">CATALÃO!E103</f>
        <v>65130</v>
      </c>
      <c r="H10" s="23" t="n">
        <f aca="true">VLOOKUP("Energia anual (EA)",INDIRECT("'"&amp;C10&amp;"'!B:E"),4,0)</f>
        <v>38527.83</v>
      </c>
      <c r="I10" s="25" t="n">
        <f aca="false">H10/G10</f>
        <v>0.5916</v>
      </c>
      <c r="J10" s="23" t="n">
        <f aca="false">G10-H10</f>
        <v>26602.17</v>
      </c>
      <c r="K10" s="26" t="n">
        <f aca="false">1-I10</f>
        <v>0.4084</v>
      </c>
      <c r="L10" s="23" t="n">
        <f aca="true">VLOOKUP("Valor total dos equipamentos",INDIRECT("'"&amp;C10&amp;"'!B:E"),4,0)</f>
        <v>154404</v>
      </c>
      <c r="M10" s="27" t="n">
        <f aca="false">'DEA_(R$)'!B5</f>
        <v>33592.59</v>
      </c>
      <c r="N10" s="28" t="s">
        <v>24</v>
      </c>
      <c r="R10" s="18"/>
      <c r="S10" s="19"/>
      <c r="U10" s="20"/>
      <c r="W10" s="0" t="s">
        <v>26</v>
      </c>
    </row>
    <row r="11" customFormat="false" ht="15" hidden="false" customHeight="false" outlineLevel="0" collapsed="false">
      <c r="B11" s="0" t="s">
        <v>20</v>
      </c>
      <c r="C11" s="21" t="s">
        <v>27</v>
      </c>
      <c r="D11" s="22" t="n">
        <f aca="true">VLOOKUP("Inversor FRONIUS SYMO 15kW",INDIRECT(C11&amp;"!B:E"),4,0)</f>
        <v>45</v>
      </c>
      <c r="E11" s="23" t="n">
        <f aca="true">VLOOKUP("Irradiação",INDIRECT("'"&amp;C11&amp;"'!B:E"),4,0)</f>
        <v>5.23</v>
      </c>
      <c r="F11" s="24" t="n">
        <f aca="true">VLOOKUP("PR",INDIRECT("'"&amp;C11&amp;"'!B:E"),4,0)</f>
        <v>0.75</v>
      </c>
      <c r="G11" s="23" t="n">
        <f aca="true">INDIRECT(C11&amp;"!"&amp;$G$4)</f>
        <v>64269.46</v>
      </c>
      <c r="H11" s="23" t="n">
        <f aca="true">VLOOKUP("Energia anual (EA)",INDIRECT("'"&amp;C11&amp;"'!B:E"),4,0)</f>
        <v>30497</v>
      </c>
      <c r="I11" s="25" t="n">
        <f aca="false">H11/G11</f>
        <v>0.4745</v>
      </c>
      <c r="J11" s="23" t="n">
        <f aca="false">G11-H11</f>
        <v>33772.46</v>
      </c>
      <c r="K11" s="26" t="n">
        <f aca="false">1-I11</f>
        <v>0.5255</v>
      </c>
      <c r="L11" s="23" t="n">
        <f aca="true">VLOOKUP("Valor total dos equipamentos",INDIRECT("'"&amp;C11&amp;"'!B:E"),4,0)</f>
        <v>154404</v>
      </c>
      <c r="M11" s="27" t="n">
        <f aca="false">'DEA_(R$)'!B6</f>
        <v>28608.64</v>
      </c>
      <c r="N11" s="28" t="s">
        <v>24</v>
      </c>
      <c r="R11" s="18"/>
      <c r="S11" s="19"/>
      <c r="U11" s="20"/>
      <c r="W11" s="0" t="s">
        <v>28</v>
      </c>
    </row>
    <row r="12" customFormat="false" ht="15" hidden="false" customHeight="false" outlineLevel="0" collapsed="false">
      <c r="B12" s="0" t="s">
        <v>20</v>
      </c>
      <c r="C12" s="21" t="str">
        <f aca="false">FORMOSA!B5</f>
        <v>FORMOSA</v>
      </c>
      <c r="D12" s="22" t="n">
        <f aca="true">VLOOKUP("Inversor FRONIUS SYMO 15kW",INDIRECT(C12&amp;"!B:E"),4,0)</f>
        <v>45</v>
      </c>
      <c r="E12" s="23" t="n">
        <f aca="true">VLOOKUP("Irradiação",INDIRECT("'"&amp;C12&amp;"'!B:E"),4,0)</f>
        <v>5.45</v>
      </c>
      <c r="F12" s="24" t="n">
        <f aca="true">VLOOKUP("PR",INDIRECT("'"&amp;C12&amp;"'!B:E"),4,0)</f>
        <v>0.75</v>
      </c>
      <c r="G12" s="23" t="n">
        <f aca="true">INDIRECT(C12&amp;"!"&amp;$G$4)</f>
        <v>66973.19</v>
      </c>
      <c r="H12" s="23" t="n">
        <f aca="true">VLOOKUP("Energia anual (EA)",INDIRECT("'"&amp;C12&amp;"'!B:E"),4,0)</f>
        <v>22962</v>
      </c>
      <c r="I12" s="25" t="n">
        <f aca="false">H12/G12</f>
        <v>0.3429</v>
      </c>
      <c r="J12" s="23" t="n">
        <f aca="false">G12-H12</f>
        <v>44011.19</v>
      </c>
      <c r="K12" s="26" t="n">
        <f aca="false">1-I12</f>
        <v>0.6571</v>
      </c>
      <c r="L12" s="23" t="n">
        <f aca="true">VLOOKUP("Valor total dos equipamentos",INDIRECT("'"&amp;C12&amp;"'!B:E"),4,0)</f>
        <v>154404</v>
      </c>
      <c r="M12" s="27" t="n">
        <f aca="false">'DEA_(R$)'!B7</f>
        <v>18525.89</v>
      </c>
      <c r="N12" s="28" t="s">
        <v>24</v>
      </c>
      <c r="P12" s="0" t="n">
        <v>2018</v>
      </c>
      <c r="Q12" s="0" t="s">
        <v>29</v>
      </c>
      <c r="R12" s="18"/>
      <c r="S12" s="19"/>
      <c r="U12" s="20"/>
    </row>
    <row r="13" customFormat="false" ht="15" hidden="false" customHeight="false" outlineLevel="0" collapsed="false">
      <c r="B13" s="0" t="s">
        <v>20</v>
      </c>
      <c r="C13" s="10" t="str">
        <f aca="false">GOIANÉSIA!B5</f>
        <v>GOIANÉSIA</v>
      </c>
      <c r="D13" s="11" t="n">
        <f aca="true">VLOOKUP("Inversor FRONIUS SYMO 15kW",INDIRECT("'"&amp;C13&amp;"'!B:E"),4,0)</f>
        <v>90</v>
      </c>
      <c r="E13" s="12" t="n">
        <f aca="true">VLOOKUP("Irradiação",INDIRECT("'"&amp;C13&amp;"'!B:E"),4,0)</f>
        <v>5.26</v>
      </c>
      <c r="F13" s="13" t="n">
        <f aca="true">VLOOKUP("PR",INDIRECT("'"&amp;C13&amp;"'!B:E"),4,0)</f>
        <v>0.75</v>
      </c>
      <c r="G13" s="12" t="n">
        <f aca="true">INDIRECT(C13&amp;"!"&amp;$G$4)</f>
        <v>129276.92</v>
      </c>
      <c r="H13" s="12" t="n">
        <f aca="true">VLOOKUP("Energia anual (EA)",INDIRECT("'"&amp;C13&amp;"'!B:E"),4,0)</f>
        <v>26792.03</v>
      </c>
      <c r="I13" s="14" t="n">
        <f aca="false">H13/G13</f>
        <v>0.2072</v>
      </c>
      <c r="J13" s="12" t="n">
        <f aca="false">G13-H13</f>
        <v>102484.89</v>
      </c>
      <c r="K13" s="15" t="n">
        <f aca="false">1-I13</f>
        <v>0.7928</v>
      </c>
      <c r="L13" s="12" t="n">
        <f aca="true">VLOOKUP("Valor total dos equipamentos",INDIRECT("'"&amp;C13&amp;"'!B:E"),4,0)</f>
        <v>308808</v>
      </c>
      <c r="M13" s="16" t="n">
        <f aca="false">'DEA_(R$)'!B8</f>
        <v>43676.87</v>
      </c>
      <c r="N13" s="17" t="s">
        <v>21</v>
      </c>
      <c r="R13" s="18"/>
      <c r="S13" s="19"/>
      <c r="U13" s="20"/>
    </row>
    <row r="14" customFormat="false" ht="15" hidden="false" customHeight="false" outlineLevel="0" collapsed="false">
      <c r="B14" s="0" t="s">
        <v>20</v>
      </c>
      <c r="C14" s="21" t="str">
        <f aca="false">GOIÁS!B5</f>
        <v>GOIÁS</v>
      </c>
      <c r="D14" s="22" t="n">
        <f aca="true">VLOOKUP("Inversor FRONIUS SYMO 15kW",INDIRECT("'"&amp;C14&amp;"'!B:E"),4,0)</f>
        <v>45</v>
      </c>
      <c r="E14" s="23" t="n">
        <f aca="true">VLOOKUP("Irradiação",INDIRECT("'"&amp;C14&amp;"'!B:E"),4,0)</f>
        <v>5.22</v>
      </c>
      <c r="F14" s="24" t="n">
        <f aca="true">VLOOKUP("PR",INDIRECT("'"&amp;C14&amp;"'!B:E"),4,0)</f>
        <v>0.75</v>
      </c>
      <c r="G14" s="23" t="n">
        <f aca="true">INDIRECT(C14&amp;"!"&amp;$G$4)</f>
        <v>64146.91</v>
      </c>
      <c r="H14" s="23" t="n">
        <f aca="true">VLOOKUP("Energia anual (EA)",INDIRECT("'"&amp;C14&amp;"'!B:E"),4,0)</f>
        <v>23146.75</v>
      </c>
      <c r="I14" s="25" t="n">
        <f aca="false">H14/G14</f>
        <v>0.3608</v>
      </c>
      <c r="J14" s="23" t="n">
        <f aca="false">G14-H14</f>
        <v>41000.16</v>
      </c>
      <c r="K14" s="26" t="n">
        <f aca="false">1-I14</f>
        <v>0.6392</v>
      </c>
      <c r="L14" s="23" t="n">
        <f aca="true">VLOOKUP("Valor total dos equipamentos",INDIRECT("'"&amp;C14&amp;"'!B:E"),4,0)</f>
        <v>154404</v>
      </c>
      <c r="M14" s="27" t="n">
        <f aca="false">'DEA_(R$)'!B9</f>
        <v>20993.38</v>
      </c>
      <c r="N14" s="28" t="s">
        <v>24</v>
      </c>
      <c r="R14" s="18"/>
      <c r="S14" s="19"/>
      <c r="U14" s="20"/>
    </row>
    <row r="15" customFormat="false" ht="15" hidden="false" customHeight="false" outlineLevel="0" collapsed="false">
      <c r="B15" s="0" t="s">
        <v>20</v>
      </c>
      <c r="C15" s="21" t="str">
        <f aca="false">GOIATUBA!B5</f>
        <v>GOIATUBA</v>
      </c>
      <c r="D15" s="22" t="n">
        <f aca="true">VLOOKUP("Inversor FRONIUS SYMO 15kW",INDIRECT("'"&amp;C15&amp;"'!B:E"),4,0)</f>
        <v>67.5</v>
      </c>
      <c r="E15" s="23" t="n">
        <f aca="true">VLOOKUP("Irradiação",INDIRECT("'"&amp;C15&amp;"'!B:E"),4,0)</f>
        <v>5.2</v>
      </c>
      <c r="F15" s="24" t="n">
        <f aca="true">VLOOKUP("PR",INDIRECT("'"&amp;C15&amp;"'!B:E"),4,0)</f>
        <v>0.75</v>
      </c>
      <c r="G15" s="23" t="n">
        <f aca="true">INDIRECT(C15&amp;"!"&amp;$G$4)</f>
        <v>95851.37</v>
      </c>
      <c r="H15" s="23" t="n">
        <f aca="true">VLOOKUP("Energia anual (EA)",INDIRECT("'"&amp;C15&amp;"'!B:E"),4,0)</f>
        <v>25906.33</v>
      </c>
      <c r="I15" s="25" t="n">
        <f aca="false">H15/G15</f>
        <v>0.2703</v>
      </c>
      <c r="J15" s="23" t="n">
        <f aca="false">G15-H15</f>
        <v>69945.04</v>
      </c>
      <c r="K15" s="26" t="n">
        <f aca="false">1-I15</f>
        <v>0.7297</v>
      </c>
      <c r="L15" s="23" t="n">
        <f aca="true">VLOOKUP("Valor total dos equipamentos",INDIRECT("'"&amp;C15&amp;"'!B:E"),4,0)</f>
        <v>231606</v>
      </c>
      <c r="M15" s="27" t="n">
        <f aca="false">'DEA_(R$)'!B10</f>
        <v>24177.47</v>
      </c>
      <c r="N15" s="28" t="s">
        <v>24</v>
      </c>
      <c r="R15" s="18"/>
      <c r="S15" s="19"/>
      <c r="U15" s="20"/>
    </row>
    <row r="16" customFormat="false" ht="15" hidden="false" customHeight="false" outlineLevel="0" collapsed="false">
      <c r="B16" s="0" t="s">
        <v>20</v>
      </c>
      <c r="C16" s="21" t="str">
        <f aca="false">INHUMAS!B5</f>
        <v>INHUMAS</v>
      </c>
      <c r="D16" s="22" t="n">
        <f aca="true">VLOOKUP("Inversor FRONIUS SYMO 15kW",INDIRECT("'"&amp;C16&amp;"'!B:E"),4,0)</f>
        <v>67.5</v>
      </c>
      <c r="E16" s="23" t="n">
        <f aca="true">VLOOKUP("Irradiação",INDIRECT("'"&amp;C16&amp;"'!B:E"),4,0)</f>
        <v>5.26</v>
      </c>
      <c r="F16" s="24" t="n">
        <f aca="true">VLOOKUP("PR",INDIRECT("'"&amp;C16&amp;"'!B:E"),4,0)</f>
        <v>0.75</v>
      </c>
      <c r="G16" s="23" t="n">
        <f aca="true">INDIRECT(C16&amp;"!"&amp;$G$4)</f>
        <v>96957.69</v>
      </c>
      <c r="H16" s="23" t="n">
        <f aca="true">VLOOKUP("Energia anual (EA)",INDIRECT("'"&amp;C16&amp;"'!B:E"),4,0)</f>
        <v>24406</v>
      </c>
      <c r="I16" s="25" t="n">
        <f aca="false">H16/G16</f>
        <v>0.2517</v>
      </c>
      <c r="J16" s="23" t="n">
        <f aca="false">G16-H16</f>
        <v>72551.69</v>
      </c>
      <c r="K16" s="26" t="n">
        <f aca="false">1-I16</f>
        <v>0.7483</v>
      </c>
      <c r="L16" s="23" t="n">
        <f aca="true">VLOOKUP("Valor total dos equipamentos",INDIRECT("'"&amp;C16&amp;"'!B:E"),4,0)</f>
        <v>231606</v>
      </c>
      <c r="M16" s="27" t="n">
        <f aca="false">'DEA_(R$)'!B11</f>
        <v>21309.52</v>
      </c>
      <c r="N16" s="28" t="s">
        <v>24</v>
      </c>
      <c r="R16" s="18"/>
      <c r="S16" s="19"/>
      <c r="U16" s="20"/>
      <c r="V16" s="18"/>
    </row>
    <row r="17" customFormat="false" ht="15" hidden="false" customHeight="false" outlineLevel="0" collapsed="false">
      <c r="C17" s="21" t="str">
        <f aca="false">IPORÁ!B5</f>
        <v>IPORÁ</v>
      </c>
      <c r="D17" s="22" t="n">
        <f aca="true">VLOOKUP("Inversor FRONIUS SYMO 15kW",INDIRECT("'"&amp;C17&amp;"'!B:E"),4,0)</f>
        <v>45</v>
      </c>
      <c r="E17" s="23" t="n">
        <f aca="true">VLOOKUP("Irradiação",INDIRECT("'"&amp;C17&amp;"'!B:E"),4,0)</f>
        <v>5.25</v>
      </c>
      <c r="F17" s="24" t="n">
        <f aca="true">VLOOKUP("PR",INDIRECT("'"&amp;C17&amp;"'!B:E"),4,0)</f>
        <v>0.75</v>
      </c>
      <c r="G17" s="23" t="n">
        <f aca="true">INDIRECT(C17&amp;"!"&amp;$G$4)</f>
        <v>64515.46</v>
      </c>
      <c r="H17" s="23" t="n">
        <f aca="true">VLOOKUP("Energia anual (EA)",INDIRECT("'"&amp;C17&amp;"'!B:E"),4,0)</f>
        <v>25965.5</v>
      </c>
      <c r="I17" s="25" t="n">
        <f aca="false">H17/G17</f>
        <v>0.4025</v>
      </c>
      <c r="J17" s="23" t="n">
        <f aca="false">G17-H17</f>
        <v>38549.96</v>
      </c>
      <c r="K17" s="26" t="n">
        <f aca="false">1-I17</f>
        <v>0.5975</v>
      </c>
      <c r="L17" s="23" t="n">
        <f aca="true">VLOOKUP("Valor total dos equipamentos",INDIRECT("'"&amp;C17&amp;"'!B:E"),4,0)</f>
        <v>154404</v>
      </c>
      <c r="M17" s="27" t="n">
        <f aca="false">'DEA_(R$)'!B12</f>
        <v>17823.27</v>
      </c>
      <c r="N17" s="28" t="s">
        <v>24</v>
      </c>
      <c r="R17" s="18"/>
      <c r="S17" s="19"/>
      <c r="U17" s="20"/>
    </row>
    <row r="18" customFormat="false" ht="15" hidden="false" customHeight="false" outlineLevel="0" collapsed="false">
      <c r="B18" s="0" t="s">
        <v>20</v>
      </c>
      <c r="C18" s="10" t="str">
        <f aca="false">ITUMBIARA!B5</f>
        <v>ITUMBIARA</v>
      </c>
      <c r="D18" s="11" t="n">
        <f aca="true">VLOOKUP("Inversor FRONIUS SYMO 15kW",INDIRECT("'"&amp;C18&amp;"'!B:E"),4,0)</f>
        <v>180</v>
      </c>
      <c r="E18" s="12" t="n">
        <f aca="true">VLOOKUP("Irradiação",INDIRECT("'"&amp;C18&amp;"'!B:E"),4,0)</f>
        <v>5.24</v>
      </c>
      <c r="F18" s="13" t="n">
        <f aca="true">VLOOKUP("PR",INDIRECT("'"&amp;C18&amp;"'!B:E"),4,0)</f>
        <v>0.75</v>
      </c>
      <c r="G18" s="12" t="n">
        <f aca="true">INDIRECT(C18&amp;"!"&amp;$G$4)</f>
        <v>258050.38</v>
      </c>
      <c r="H18" s="12" t="n">
        <f aca="true">VLOOKUP("Energia anual (EA)",INDIRECT("'"&amp;C18&amp;"'!B:E"),4,0)</f>
        <v>75425.57</v>
      </c>
      <c r="I18" s="14" t="n">
        <f aca="false">H18/G18</f>
        <v>0.2923</v>
      </c>
      <c r="J18" s="12" t="n">
        <f aca="false">G18-H18</f>
        <v>182624.81</v>
      </c>
      <c r="K18" s="15" t="n">
        <f aca="false">1-I18</f>
        <v>0.7077</v>
      </c>
      <c r="L18" s="12" t="n">
        <f aca="true">VLOOKUP("Valor total dos equipamentos",INDIRECT("'"&amp;C18&amp;"'!B:E"),4,0)</f>
        <v>618455</v>
      </c>
      <c r="M18" s="16" t="n">
        <f aca="false">'DEA_(R$)'!B13</f>
        <v>61526.54</v>
      </c>
      <c r="N18" s="17" t="s">
        <v>21</v>
      </c>
      <c r="P18" s="29"/>
      <c r="R18" s="18"/>
      <c r="S18" s="19"/>
      <c r="U18" s="20"/>
    </row>
    <row r="19" customFormat="false" ht="15" hidden="false" customHeight="false" outlineLevel="0" collapsed="false">
      <c r="B19" s="0" t="s">
        <v>20</v>
      </c>
      <c r="C19" s="30" t="str">
        <f aca="false">JATAÍ!B5</f>
        <v>JATAÍ</v>
      </c>
      <c r="D19" s="22" t="n">
        <f aca="true">VLOOKUP("Inversor FRONIUS SYMO 15kW",INDIRECT("'"&amp;C19&amp;"'!B:E"),4,0)</f>
        <v>67.5</v>
      </c>
      <c r="E19" s="23" t="n">
        <f aca="true">VLOOKUP("Irradiação",INDIRECT("'"&amp;C19&amp;"'!B:E"),4,0)</f>
        <v>5.14</v>
      </c>
      <c r="F19" s="23" t="n">
        <f aca="true">VLOOKUP("PR",INDIRECT("'"&amp;C19&amp;"'!B:E"),4,0)</f>
        <v>0.7</v>
      </c>
      <c r="G19" s="23" t="n">
        <f aca="true">INDIRECT(C19&amp;"!"&amp;$G$4)</f>
        <v>88435.6</v>
      </c>
      <c r="H19" s="23" t="n">
        <f aca="true">VLOOKUP("Energia anual (EA)",INDIRECT("'"&amp;C19&amp;"'!B:E"),4,0)</f>
        <v>27251.5</v>
      </c>
      <c r="I19" s="25" t="n">
        <f aca="false">H19/G19</f>
        <v>0.3082</v>
      </c>
      <c r="J19" s="23" t="n">
        <f aca="false">G19-H19</f>
        <v>61184.1</v>
      </c>
      <c r="K19" s="26" t="n">
        <f aca="false">1-I19</f>
        <v>0.6918</v>
      </c>
      <c r="L19" s="23" t="n">
        <f aca="true">VLOOKUP("Valor total dos equipamentos",INDIRECT("'"&amp;C19&amp;"'!B:E"),4,0)</f>
        <v>231606</v>
      </c>
      <c r="M19" s="27" t="n">
        <f aca="false">'DEA_(R$)'!B14</f>
        <v>23672.81</v>
      </c>
      <c r="N19" s="28" t="s">
        <v>24</v>
      </c>
      <c r="R19" s="18"/>
      <c r="S19" s="19"/>
      <c r="U19" s="20"/>
      <c r="V19" s="18"/>
    </row>
    <row r="20" customFormat="false" ht="15" hidden="false" customHeight="false" outlineLevel="0" collapsed="false">
      <c r="B20" s="0" t="s">
        <v>20</v>
      </c>
      <c r="C20" s="10" t="str">
        <f aca="false">LUZIÂNIA!B5</f>
        <v>LUZIÂNIA</v>
      </c>
      <c r="D20" s="11" t="n">
        <f aca="true">VLOOKUP("Inversor FRONIUS SYMO 15kW",INDIRECT("'"&amp;C20&amp;"'!B:E"),4,0)</f>
        <v>67.5</v>
      </c>
      <c r="E20" s="12" t="n">
        <f aca="true">VLOOKUP("Irradiação",INDIRECT("'"&amp;C20&amp;"'!B:E"),4,0)</f>
        <v>5.34</v>
      </c>
      <c r="F20" s="12" t="n">
        <f aca="true">VLOOKUP("PR",INDIRECT("'"&amp;C20&amp;"'!B:E"),4,0)</f>
        <v>0.75</v>
      </c>
      <c r="G20" s="12" t="n">
        <f aca="true">INDIRECT(C20&amp;"!"&amp;$G$4)</f>
        <v>98439.63</v>
      </c>
      <c r="H20" s="12" t="n">
        <f aca="true">VLOOKUP("Energia anual (EA)",INDIRECT("'"&amp;C20&amp;"'!B:E"),4,0)</f>
        <v>43978.42</v>
      </c>
      <c r="I20" s="14" t="n">
        <f aca="false">H20/G20</f>
        <v>0.4468</v>
      </c>
      <c r="J20" s="12" t="n">
        <f aca="false">G20-H20</f>
        <v>54461.21</v>
      </c>
      <c r="K20" s="15" t="n">
        <f aca="false">1-I20</f>
        <v>0.5532</v>
      </c>
      <c r="L20" s="12" t="n">
        <f aca="true">VLOOKUP("Valor total dos equipamentos",INDIRECT("'"&amp;C20&amp;"'!B:E"),4,0)</f>
        <v>231606</v>
      </c>
      <c r="M20" s="16" t="n">
        <f aca="false">'DEA_(R$)'!B15</f>
        <v>43358.35</v>
      </c>
      <c r="N20" s="17" t="s">
        <v>21</v>
      </c>
      <c r="R20" s="18"/>
      <c r="S20" s="19"/>
      <c r="U20" s="20"/>
      <c r="X20" s="31"/>
      <c r="AC20" s="31"/>
      <c r="AF20" s="31"/>
    </row>
    <row r="21" customFormat="false" ht="15" hidden="false" customHeight="false" outlineLevel="0" collapsed="false">
      <c r="B21" s="0" t="s">
        <v>20</v>
      </c>
      <c r="C21" s="10" t="str">
        <f aca="false">MINEIROS!B5</f>
        <v>MINEIROS</v>
      </c>
      <c r="D21" s="11" t="n">
        <f aca="true">VLOOKUP("Inversor FRONIUS SYMO 15kW",INDIRECT("'"&amp;C21&amp;"'!B:E"),4,0)</f>
        <v>67.5</v>
      </c>
      <c r="E21" s="12" t="n">
        <f aca="true">VLOOKUP("Irradiação",INDIRECT("'"&amp;C21&amp;"'!B:E"),4,0)</f>
        <v>5.16</v>
      </c>
      <c r="F21" s="12" t="n">
        <f aca="true">VLOOKUP("PR",INDIRECT("'"&amp;C21&amp;"'!B:E"),4,0)</f>
        <v>0.7</v>
      </c>
      <c r="G21" s="12" t="n">
        <f aca="true">INDIRECT(C21&amp;"!"&amp;$G$4)</f>
        <v>88779.71</v>
      </c>
      <c r="H21" s="12" t="n">
        <f aca="true">VLOOKUP("Energia anual (EA)",INDIRECT("'"&amp;C21&amp;"'!B:E"),4,0)</f>
        <v>22734.2</v>
      </c>
      <c r="I21" s="14" t="n">
        <f aca="false">H21/G21</f>
        <v>0.2561</v>
      </c>
      <c r="J21" s="12" t="n">
        <f aca="false">G21-H21</f>
        <v>66045.51</v>
      </c>
      <c r="K21" s="15" t="n">
        <f aca="false">1-I21</f>
        <v>0.7439</v>
      </c>
      <c r="L21" s="12" t="n">
        <f aca="true">VLOOKUP("Valor total dos equipamentos",INDIRECT("'"&amp;C21&amp;"'!B:E"),4,0)</f>
        <v>231606</v>
      </c>
      <c r="M21" s="16" t="n">
        <f aca="false">'DEA_(R$)'!B16</f>
        <v>39665.07</v>
      </c>
      <c r="N21" s="17" t="s">
        <v>21</v>
      </c>
      <c r="R21" s="18"/>
      <c r="S21" s="19"/>
      <c r="U21" s="20"/>
      <c r="V21" s="18"/>
      <c r="X21" s="31"/>
      <c r="AA21" s="29"/>
      <c r="AD21" s="29"/>
      <c r="AF21" s="31"/>
      <c r="AL21" s="29"/>
    </row>
    <row r="22" customFormat="false" ht="15" hidden="false" customHeight="false" outlineLevel="0" collapsed="false">
      <c r="C22" s="21" t="str">
        <f aca="false">PALMEIRAS_DE_GOIÁS!B5</f>
        <v>PALMEIRAS_DE_GOIÁS</v>
      </c>
      <c r="D22" s="22" t="n">
        <f aca="true">VLOOKUP("Inversor FRONIUS SYMO 15kW",INDIRECT("'"&amp;C22&amp;"'!B:E"),4,0)</f>
        <v>45</v>
      </c>
      <c r="E22" s="23" t="n">
        <f aca="true">VLOOKUP("Irradiação",INDIRECT("'"&amp;C22&amp;"'!B:E"),4,0)</f>
        <v>5.27</v>
      </c>
      <c r="F22" s="24" t="n">
        <f aca="true">VLOOKUP("PR",INDIRECT("'"&amp;C22&amp;"'!B:E"),4,0)</f>
        <v>0.75</v>
      </c>
      <c r="G22" s="23" t="n">
        <f aca="true">INDIRECT(C22&amp;"!"&amp;$G$4)</f>
        <v>64761.01</v>
      </c>
      <c r="H22" s="23" t="n">
        <f aca="true">VLOOKUP("Energia anual (EA)",INDIRECT("'"&amp;C22&amp;"'!B:E"),4,0)</f>
        <v>31221.33</v>
      </c>
      <c r="I22" s="25" t="n">
        <f aca="false">H22/G22</f>
        <v>0.4821</v>
      </c>
      <c r="J22" s="23" t="n">
        <f aca="false">G22-H22</f>
        <v>33539.68</v>
      </c>
      <c r="K22" s="26" t="n">
        <f aca="false">1-I22</f>
        <v>0.5179</v>
      </c>
      <c r="L22" s="23" t="n">
        <f aca="true">VLOOKUP("Valor total dos equipamentos",INDIRECT("'"&amp;C22&amp;"'!B:E"),4,0)</f>
        <v>154404</v>
      </c>
      <c r="M22" s="27" t="n">
        <f aca="false">'DEA_(R$)'!B17</f>
        <v>27013.98</v>
      </c>
      <c r="N22" s="28" t="s">
        <v>24</v>
      </c>
      <c r="P22" s="0" t="s">
        <v>30</v>
      </c>
      <c r="R22" s="18"/>
      <c r="S22" s="19"/>
      <c r="U22" s="20"/>
      <c r="AA22" s="29"/>
      <c r="AD22" s="29"/>
      <c r="AL22" s="29"/>
    </row>
    <row r="23" customFormat="false" ht="15" hidden="false" customHeight="false" outlineLevel="0" collapsed="false">
      <c r="C23" s="21" t="str">
        <f aca="false">PIRES_DO_RIO!B5</f>
        <v>PIRES_DO_RIO</v>
      </c>
      <c r="D23" s="22" t="n">
        <f aca="true">VLOOKUP("Inversor FRONIUS SYMO 15kW",INDIRECT("'"&amp;C23&amp;"'!B:E"),4,0)</f>
        <v>90</v>
      </c>
      <c r="E23" s="23" t="n">
        <f aca="true">VLOOKUP("Irradiação",INDIRECT("'"&amp;C23&amp;"'!B:E"),4,0)</f>
        <v>5.33</v>
      </c>
      <c r="F23" s="24" t="n">
        <f aca="true">VLOOKUP("PR",INDIRECT("'"&amp;C23&amp;"'!B:E"),4,0)</f>
        <v>0.75</v>
      </c>
      <c r="G23" s="23" t="n">
        <f aca="true">INDIRECT(C23&amp;"!"&amp;$G$4)</f>
        <v>130997.1</v>
      </c>
      <c r="H23" s="23" t="n">
        <f aca="true">VLOOKUP("Energia anual (EA)",INDIRECT("'"&amp;C23&amp;"'!B:E"),4,0)</f>
        <v>24907.33</v>
      </c>
      <c r="I23" s="25" t="n">
        <f aca="false">H23/G23</f>
        <v>0.1901</v>
      </c>
      <c r="J23" s="23" t="n">
        <f aca="false">G23-H23</f>
        <v>106089.77</v>
      </c>
      <c r="K23" s="26" t="n">
        <f aca="false">1-I23</f>
        <v>0.8099</v>
      </c>
      <c r="L23" s="23" t="n">
        <f aca="true">VLOOKUP("Valor total dos equipamentos",INDIRECT("'"&amp;C23&amp;"'!B:E"),4,0)</f>
        <v>308808</v>
      </c>
      <c r="M23" s="27" t="n">
        <f aca="false">'DEA_(R$)'!B18</f>
        <v>24042.54</v>
      </c>
      <c r="N23" s="28" t="s">
        <v>24</v>
      </c>
      <c r="R23" s="18"/>
      <c r="S23" s="19"/>
      <c r="U23" s="20"/>
      <c r="V23" s="18"/>
      <c r="Y23" s="29"/>
      <c r="AA23" s="29"/>
      <c r="AF23" s="29"/>
    </row>
    <row r="24" customFormat="false" ht="15" hidden="false" customHeight="false" outlineLevel="0" collapsed="false">
      <c r="B24" s="0" t="s">
        <v>20</v>
      </c>
      <c r="C24" s="21" t="str">
        <f aca="false">PORANGATU!B5</f>
        <v>PORANGATU</v>
      </c>
      <c r="D24" s="22" t="n">
        <f aca="true">VLOOKUP("Inversor FRONIUS SYMO 15kW",INDIRECT("'"&amp;C24&amp;"'!B:E"),4,0)</f>
        <v>45</v>
      </c>
      <c r="E24" s="23" t="n">
        <f aca="true">VLOOKUP("Irradiação",INDIRECT("'"&amp;C24&amp;"'!B:E"),4,0)</f>
        <v>5.34</v>
      </c>
      <c r="F24" s="24" t="n">
        <f aca="true">VLOOKUP("PR",INDIRECT("'"&amp;C24&amp;"'!B:E"),4,0)</f>
        <v>0.75</v>
      </c>
      <c r="G24" s="23" t="n">
        <f aca="true">INDIRECT(C24&amp;"!"&amp;$G$4)</f>
        <v>65621.55</v>
      </c>
      <c r="H24" s="23" t="n">
        <f aca="true">VLOOKUP("Energia anual (EA)",INDIRECT("'"&amp;C24&amp;"'!B:E"),4,0)</f>
        <v>38115.91</v>
      </c>
      <c r="I24" s="25" t="n">
        <f aca="false">H24/G24</f>
        <v>0.5808</v>
      </c>
      <c r="J24" s="23" t="n">
        <f aca="false">G24-H24</f>
        <v>27505.64</v>
      </c>
      <c r="K24" s="26" t="n">
        <f aca="false">1-I24</f>
        <v>0.4192</v>
      </c>
      <c r="L24" s="23" t="n">
        <f aca="true">VLOOKUP("Valor total dos equipamentos",INDIRECT("'"&amp;C24&amp;"'!B:E"),4,0)</f>
        <v>154404</v>
      </c>
      <c r="M24" s="27" t="n">
        <f aca="false">'DEA_(R$)'!B19</f>
        <v>33180.56</v>
      </c>
      <c r="N24" s="28" t="s">
        <v>24</v>
      </c>
      <c r="R24" s="18"/>
      <c r="S24" s="19"/>
      <c r="U24" s="20"/>
    </row>
    <row r="25" customFormat="false" ht="15" hidden="false" customHeight="false" outlineLevel="0" collapsed="false">
      <c r="B25" s="0" t="s">
        <v>20</v>
      </c>
      <c r="C25" s="10" t="str">
        <f aca="false">POSSE!B5</f>
        <v>POSSE</v>
      </c>
      <c r="D25" s="11" t="n">
        <f aca="true">VLOOKUP("Inversor FRONIUS SYMO 15kW",INDIRECT("'"&amp;C25&amp;"'!B:E"),4,0)</f>
        <v>45</v>
      </c>
      <c r="E25" s="12" t="n">
        <f aca="true">VLOOKUP("Irradiação",INDIRECT("'"&amp;C25&amp;"'!B:E"),4,0)</f>
        <v>5.48</v>
      </c>
      <c r="F25" s="13" t="n">
        <f aca="true">VLOOKUP("PR",INDIRECT("'"&amp;C25&amp;"'!B:E"),4,0)</f>
        <v>0.75</v>
      </c>
      <c r="G25" s="12" t="n">
        <f aca="true">INDIRECT(C25&amp;"!"&amp;$G$4)</f>
        <v>67341.73</v>
      </c>
      <c r="H25" s="12" t="n">
        <f aca="true">VLOOKUP("Energia anual (EA)",INDIRECT("'"&amp;C25&amp;"'!B:E"),4,0)</f>
        <v>28657.08</v>
      </c>
      <c r="I25" s="14" t="n">
        <f aca="false">H25/G25</f>
        <v>0.4255</v>
      </c>
      <c r="J25" s="12" t="n">
        <f aca="false">G25-H25</f>
        <v>38684.65</v>
      </c>
      <c r="K25" s="15" t="n">
        <f aca="false">1-I25</f>
        <v>0.5745</v>
      </c>
      <c r="L25" s="12" t="n">
        <f aca="true">VLOOKUP("Valor total dos equipamentos",INDIRECT("'"&amp;C25&amp;"'!B:E"),4,0)</f>
        <v>154404</v>
      </c>
      <c r="M25" s="16" t="n">
        <f aca="false">'DEA_(R$)'!B20</f>
        <v>34474.67</v>
      </c>
      <c r="N25" s="17" t="s">
        <v>21</v>
      </c>
      <c r="R25" s="18"/>
      <c r="S25" s="19"/>
      <c r="U25" s="20"/>
    </row>
    <row r="26" customFormat="false" ht="15" hidden="false" customHeight="false" outlineLevel="0" collapsed="false">
      <c r="B26" s="0" t="s">
        <v>20</v>
      </c>
      <c r="C26" s="21" t="str">
        <f aca="false">QUIRINÓPOLIS!B5</f>
        <v>QUIRINÓPOLIS</v>
      </c>
      <c r="D26" s="22" t="n">
        <f aca="true">VLOOKUP("Inversor FRONIUS SYMO 15kW",INDIRECT("'"&amp;C26&amp;"'!B:E"),4,0)</f>
        <v>90</v>
      </c>
      <c r="E26" s="23" t="n">
        <f aca="true">VLOOKUP("Irradiação",INDIRECT("'"&amp;C26&amp;"'!B:E"),4,0)</f>
        <v>5.23</v>
      </c>
      <c r="F26" s="24" t="n">
        <f aca="true">VLOOKUP("PR",INDIRECT("'"&amp;C26&amp;"'!B:E"),4,0)</f>
        <v>0.75</v>
      </c>
      <c r="G26" s="23" t="n">
        <f aca="true">INDIRECT(C26&amp;"!"&amp;$G$4)</f>
        <v>128538.92</v>
      </c>
      <c r="H26" s="23" t="n">
        <f aca="true">VLOOKUP("Energia anual (EA)",INDIRECT("'"&amp;C26&amp;"'!B:E"),4,0)</f>
        <v>37580.66</v>
      </c>
      <c r="I26" s="25" t="n">
        <f aca="false">H26/G26</f>
        <v>0.2924</v>
      </c>
      <c r="J26" s="23" t="n">
        <f aca="false">G26-H26</f>
        <v>90958.26</v>
      </c>
      <c r="K26" s="26" t="n">
        <f aca="false">1-I26</f>
        <v>0.7076</v>
      </c>
      <c r="L26" s="23" t="n">
        <f aca="true">VLOOKUP("Valor total dos equipamentos",INDIRECT("'"&amp;C26&amp;"'!B:E"),4,0)</f>
        <v>308808</v>
      </c>
      <c r="M26" s="27" t="n">
        <f aca="false">'DEA_(R$)'!B21</f>
        <v>32300.64</v>
      </c>
      <c r="N26" s="28" t="s">
        <v>24</v>
      </c>
      <c r="R26" s="18"/>
      <c r="S26" s="19"/>
      <c r="U26" s="20"/>
    </row>
    <row r="27" customFormat="false" ht="15" hidden="false" customHeight="false" outlineLevel="0" collapsed="false">
      <c r="B27" s="0" t="s">
        <v>20</v>
      </c>
      <c r="C27" s="10" t="str">
        <f aca="false">RIO_VERDE!B5</f>
        <v>RIO_VERDE</v>
      </c>
      <c r="D27" s="11" t="n">
        <f aca="true">VLOOKUP("Inversor FRONIUS SYMO 15kW",INDIRECT("'"&amp;C27&amp;"'!B:E"),4,0)</f>
        <v>90</v>
      </c>
      <c r="E27" s="12" t="n">
        <f aca="true">VLOOKUP("Irradiação",INDIRECT("'"&amp;C27&amp;"'!B:E"),4,0)</f>
        <v>5.19</v>
      </c>
      <c r="F27" s="13" t="n">
        <f aca="true">VLOOKUP("PR",INDIRECT("'"&amp;C27&amp;"'!B:E"),4,0)</f>
        <v>0.7</v>
      </c>
      <c r="G27" s="12" t="n">
        <f aca="true">INDIRECT(C27&amp;"!"&amp;$G$4)</f>
        <v>119052.77</v>
      </c>
      <c r="H27" s="12" t="n">
        <f aca="true">VLOOKUP("Energia anual (EA)",INDIRECT("'"&amp;C27&amp;"'!B:E"),4,0)</f>
        <v>85390.5</v>
      </c>
      <c r="I27" s="14" t="n">
        <f aca="false">H27/G27</f>
        <v>0.7172</v>
      </c>
      <c r="J27" s="12" t="n">
        <f aca="false">G27-H27</f>
        <v>33662.27</v>
      </c>
      <c r="K27" s="15" t="n">
        <f aca="false">1-I27</f>
        <v>0.2828</v>
      </c>
      <c r="L27" s="12" t="n">
        <f aca="true">VLOOKUP("Valor total dos equipamentos",INDIRECT("'"&amp;C27&amp;"'!B:E"),4,0)</f>
        <v>308808</v>
      </c>
      <c r="M27" s="16" t="n">
        <f aca="false">'DEA_(R$)'!B22</f>
        <v>73460.75</v>
      </c>
      <c r="N27" s="17" t="s">
        <v>21</v>
      </c>
      <c r="P27" s="29"/>
      <c r="AC27" s="29"/>
    </row>
    <row r="28" customFormat="false" ht="15" hidden="false" customHeight="false" outlineLevel="0" collapsed="false">
      <c r="B28" s="0" t="s">
        <v>20</v>
      </c>
      <c r="C28" s="21" t="str">
        <f aca="false">SÃO_LUÍS_DE_MONTES_BELOS!B5</f>
        <v>SÃO_LUÍS_DE_MONTES_BELOS</v>
      </c>
      <c r="D28" s="22" t="n">
        <f aca="true">VLOOKUP("Inversor FRONIUS SYMO 15kW",INDIRECT("'"&amp;C28&amp;"'!B:E"),4,0)</f>
        <v>45</v>
      </c>
      <c r="E28" s="23" t="n">
        <f aca="true">VLOOKUP("Irradiação",INDIRECT("'"&amp;C28&amp;"'!B:E"),4,0)</f>
        <v>5.3</v>
      </c>
      <c r="F28" s="24" t="n">
        <f aca="true">VLOOKUP("PR",INDIRECT("'"&amp;C28&amp;"'!B:E"),4,0)</f>
        <v>0.75</v>
      </c>
      <c r="G28" s="23" t="n">
        <f aca="true">INDIRECT(C28&amp;"!"&amp;$G$4)</f>
        <v>65130</v>
      </c>
      <c r="H28" s="23" t="n">
        <f aca="true">VLOOKUP("Energia anual (EA)",INDIRECT("'"&amp;C28&amp;"'!B:E"),4,0)</f>
        <v>23361.33</v>
      </c>
      <c r="I28" s="25" t="n">
        <f aca="false">H28/G28</f>
        <v>0.3587</v>
      </c>
      <c r="J28" s="23" t="n">
        <f aca="false">G28-H28</f>
        <v>41768.67</v>
      </c>
      <c r="K28" s="26" t="n">
        <f aca="false">1-I28</f>
        <v>0.6413</v>
      </c>
      <c r="L28" s="23" t="n">
        <f aca="true">VLOOKUP("Valor total dos equipamentos",INDIRECT("'"&amp;C28&amp;"'!B:E"),4,0)</f>
        <v>154404</v>
      </c>
      <c r="M28" s="27" t="n">
        <f aca="false">'DEA_(R$)'!B23</f>
        <v>20481.27</v>
      </c>
      <c r="N28" s="28" t="s">
        <v>24</v>
      </c>
      <c r="P28" s="29"/>
    </row>
    <row r="29" customFormat="false" ht="15" hidden="false" customHeight="false" outlineLevel="0" collapsed="false">
      <c r="B29" s="0" t="s">
        <v>20</v>
      </c>
      <c r="C29" s="10" t="str">
        <f aca="false">URUAÇU!B5</f>
        <v>URUAÇU</v>
      </c>
      <c r="D29" s="11" t="n">
        <f aca="true">VLOOKUP("Inversor FRONIUS SYMO 15kW",INDIRECT("'"&amp;C29&amp;"'!B:E"),4,0)</f>
        <v>45</v>
      </c>
      <c r="E29" s="12" t="n">
        <f aca="true">VLOOKUP("Irradiação",INDIRECT("'"&amp;C29&amp;"'!B:E"),4,0)</f>
        <v>5.3</v>
      </c>
      <c r="F29" s="13" t="n">
        <f aca="true">VLOOKUP("PR",INDIRECT("'"&amp;C29&amp;"'!B:E"),4,0)</f>
        <v>0.75</v>
      </c>
      <c r="G29" s="12" t="n">
        <f aca="true">INDIRECT(C29&amp;"!"&amp;$G$4)</f>
        <v>65130</v>
      </c>
      <c r="H29" s="12" t="n">
        <f aca="true">VLOOKUP("Energia anual (EA)",INDIRECT("'"&amp;C29&amp;"'!B:E"),4,0)</f>
        <v>45234.22</v>
      </c>
      <c r="I29" s="14" t="n">
        <f aca="false">H29/G29</f>
        <v>0.6945</v>
      </c>
      <c r="J29" s="12" t="n">
        <f aca="false">G29-H29</f>
        <v>19895.78</v>
      </c>
      <c r="K29" s="15" t="n">
        <f aca="false">1-I29</f>
        <v>0.3055</v>
      </c>
      <c r="L29" s="12" t="n">
        <f aca="true">VLOOKUP("Valor total dos equipamentos",INDIRECT("'"&amp;C29&amp;"'!B:E"),4,0)</f>
        <v>154404</v>
      </c>
      <c r="M29" s="16" t="n">
        <f aca="false">'DEA_(R$)'!B24</f>
        <v>39281.93</v>
      </c>
      <c r="N29" s="17" t="s">
        <v>21</v>
      </c>
      <c r="P29" s="29"/>
      <c r="W29" s="31"/>
      <c r="Y29" s="31"/>
      <c r="AA29" s="31"/>
    </row>
    <row r="30" customFormat="false" ht="15" hidden="false" customHeight="false" outlineLevel="0" collapsed="false">
      <c r="B30" s="0" t="s">
        <v>20</v>
      </c>
      <c r="C30" s="10" t="str">
        <f aca="false">VALPARAÍSO!B5</f>
        <v>VALPARAÍSO</v>
      </c>
      <c r="D30" s="11" t="n">
        <f aca="true">VLOOKUP("Inversor FRONIUS SYMO 15kW",INDIRECT("'"&amp;C30&amp;"'!B:E"),4,0)</f>
        <v>67.5</v>
      </c>
      <c r="E30" s="12" t="n">
        <f aca="true">VLOOKUP("Irradiação",INDIRECT("'"&amp;C30&amp;"'!B:E"),4,0)</f>
        <v>5.28</v>
      </c>
      <c r="F30" s="13" t="n">
        <f aca="true">VLOOKUP("PR",INDIRECT("'"&amp;C30&amp;"'!B:E"),4,0)</f>
        <v>0.75</v>
      </c>
      <c r="G30" s="12" t="n">
        <f aca="true">INDIRECT(C30&amp;"!"&amp;$G$4)</f>
        <v>97333.24</v>
      </c>
      <c r="H30" s="12" t="n">
        <f aca="true">VLOOKUP("Energia anual (EA)",INDIRECT("'"&amp;C30&amp;"'!B:E"),4,0)</f>
        <v>54130.74</v>
      </c>
      <c r="I30" s="14" t="n">
        <f aca="false">H30/G30</f>
        <v>0.5561</v>
      </c>
      <c r="J30" s="12" t="n">
        <f aca="false">G30-H30</f>
        <v>43202.5</v>
      </c>
      <c r="K30" s="15" t="n">
        <f aca="false">1-I30</f>
        <v>0.4439</v>
      </c>
      <c r="L30" s="12" t="n">
        <f aca="true">VLOOKUP("Valor total dos equipamentos",INDIRECT("'"&amp;C30&amp;"'!B:E"),4,0)</f>
        <v>231606</v>
      </c>
      <c r="M30" s="16" t="n">
        <f aca="false">'DEA_(R$)'!B25</f>
        <v>47882.3</v>
      </c>
      <c r="N30" s="17" t="s">
        <v>21</v>
      </c>
      <c r="W30" s="31"/>
      <c r="Y30" s="31"/>
      <c r="AA30" s="31"/>
    </row>
    <row r="31" customFormat="false" ht="15" hidden="false" customHeight="false" outlineLevel="0" collapsed="false">
      <c r="C31" s="32" t="s">
        <v>31</v>
      </c>
      <c r="D31" s="33"/>
      <c r="E31" s="34"/>
      <c r="F31" s="35"/>
      <c r="G31" s="34"/>
      <c r="H31" s="34" t="n">
        <v>2939591.34</v>
      </c>
      <c r="I31" s="36"/>
      <c r="J31" s="34"/>
      <c r="K31" s="37"/>
      <c r="L31" s="34"/>
      <c r="M31" s="38"/>
      <c r="N31" s="28" t="s">
        <v>21</v>
      </c>
      <c r="O31" s="39"/>
      <c r="P31" s="39"/>
      <c r="Q31" s="39"/>
      <c r="R31" s="40"/>
      <c r="S31" s="41"/>
      <c r="T31" s="41"/>
      <c r="U31" s="40"/>
      <c r="W31" s="31"/>
      <c r="Y31" s="31"/>
      <c r="AA31" s="31"/>
    </row>
    <row r="32" customFormat="false" ht="15" hidden="false" customHeight="false" outlineLevel="0" collapsed="false">
      <c r="C32" s="4"/>
      <c r="D32" s="42"/>
      <c r="E32" s="43"/>
      <c r="F32" s="44" t="s">
        <v>32</v>
      </c>
      <c r="G32" s="43" t="n">
        <f aca="false">SUM(G7:G30)</f>
        <v>2275236.93</v>
      </c>
      <c r="H32" s="43" t="n">
        <f aca="false">SUM(H7:H30)</f>
        <v>928769.32</v>
      </c>
      <c r="I32" s="45"/>
      <c r="J32" s="43"/>
      <c r="K32" s="46"/>
      <c r="L32" s="43"/>
      <c r="M32" s="47"/>
      <c r="O32" s="39"/>
      <c r="P32" s="39"/>
      <c r="Q32" s="39"/>
      <c r="R32" s="40"/>
      <c r="S32" s="41"/>
      <c r="T32" s="41"/>
      <c r="U32" s="40"/>
      <c r="W32" s="31"/>
      <c r="Y32" s="31"/>
      <c r="AA32" s="31"/>
    </row>
    <row r="33" customFormat="false" ht="19.5" hidden="false" customHeight="false" outlineLevel="0" collapsed="false">
      <c r="C33" s="48"/>
      <c r="D33" s="49"/>
      <c r="E33" s="50" t="s">
        <v>33</v>
      </c>
      <c r="F33" s="51" t="s">
        <v>24</v>
      </c>
      <c r="G33" s="52" t="n">
        <f aca="false">SUMIF($N$7:$N$30,"BT",$G$7:$G$30)/1000</f>
        <v>1126</v>
      </c>
      <c r="H33" s="53" t="n">
        <f aca="false">SUMIF($N$7:$N$30,"BT",$H$7:$H$30)</f>
        <v>406675</v>
      </c>
      <c r="I33" s="54" t="s">
        <v>34</v>
      </c>
      <c r="J33" s="55"/>
      <c r="K33" s="56"/>
      <c r="L33" s="56"/>
      <c r="M33" s="56"/>
      <c r="O33" s="39"/>
      <c r="P33" s="39"/>
      <c r="Q33" s="39"/>
      <c r="R33" s="40"/>
      <c r="S33" s="41"/>
      <c r="T33" s="41"/>
      <c r="U33" s="40"/>
      <c r="W33" s="31"/>
      <c r="Y33" s="31"/>
      <c r="AA33" s="31"/>
    </row>
    <row r="34" customFormat="false" ht="15" hidden="false" customHeight="false" outlineLevel="0" collapsed="false">
      <c r="C34" s="48"/>
      <c r="D34" s="49"/>
      <c r="E34" s="57"/>
      <c r="F34" s="51" t="s">
        <v>35</v>
      </c>
      <c r="G34" s="58" t="n">
        <f aca="false">SUMIF($N$7:$N$30,"AT¨",$G$7:$G$30)/1000</f>
        <v>1149</v>
      </c>
      <c r="H34" s="53" t="n">
        <f aca="false">SUMIF($N$7:$N$30,"AT¨",$H$7:$H$30)</f>
        <v>522095</v>
      </c>
      <c r="I34" s="59"/>
      <c r="J34" s="55"/>
      <c r="K34" s="56"/>
      <c r="L34" s="56"/>
      <c r="M34" s="56"/>
      <c r="O34" s="39"/>
      <c r="P34" s="39"/>
      <c r="Q34" s="39"/>
      <c r="R34" s="40"/>
      <c r="S34" s="41"/>
      <c r="T34" s="41"/>
      <c r="U34" s="40"/>
      <c r="W34" s="31"/>
      <c r="Y34" s="31"/>
      <c r="AA34" s="31"/>
    </row>
    <row r="35" customFormat="false" ht="30" hidden="false" customHeight="false" outlineLevel="0" collapsed="false">
      <c r="C35" s="48"/>
      <c r="D35" s="49"/>
      <c r="E35" s="60"/>
      <c r="F35" s="60"/>
      <c r="G35" s="61" t="str">
        <f aca="false">G6</f>
        <v>PRODUÇÃO
(Wh)</v>
      </c>
      <c r="H35" s="61" t="str">
        <f aca="false">H6</f>
        <v>CONSUMO
(Wh)</v>
      </c>
      <c r="I35" s="59"/>
      <c r="J35" s="55"/>
      <c r="K35" s="56"/>
      <c r="L35" s="56"/>
      <c r="M35" s="56"/>
      <c r="O35" s="39"/>
      <c r="P35" s="39"/>
      <c r="Q35" s="39"/>
      <c r="R35" s="40"/>
      <c r="S35" s="41"/>
      <c r="T35" s="41"/>
      <c r="U35" s="40"/>
      <c r="W35" s="31"/>
      <c r="Y35" s="31"/>
      <c r="AA35" s="31"/>
    </row>
    <row r="36" customFormat="false" ht="15" hidden="false" customHeight="false" outlineLevel="0" collapsed="false">
      <c r="C36" s="62" t="s">
        <v>36</v>
      </c>
      <c r="D36" s="63" t="n">
        <f aca="false">SUM(D7:D30)</f>
        <v>1597.5</v>
      </c>
      <c r="E36" s="63"/>
      <c r="F36" s="64"/>
      <c r="G36" s="65" t="n">
        <f aca="false">SUM(G7:G30)/1000</f>
        <v>2275.24</v>
      </c>
      <c r="H36" s="65" t="n">
        <f aca="false">SUM(H7:H30)/1000</f>
        <v>928.77</v>
      </c>
      <c r="I36" s="63"/>
      <c r="J36" s="65" t="n">
        <f aca="false">SUM(J7:J30)</f>
        <v>1346467.61</v>
      </c>
      <c r="K36" s="56"/>
      <c r="L36" s="56"/>
      <c r="M36" s="56"/>
      <c r="O36" s="39"/>
      <c r="P36" s="39"/>
      <c r="Q36" s="39"/>
      <c r="R36" s="40"/>
      <c r="S36" s="41"/>
      <c r="T36" s="41"/>
      <c r="U36" s="40"/>
      <c r="W36" s="31"/>
      <c r="Y36" s="31"/>
      <c r="AA36" s="31"/>
    </row>
    <row r="37" customFormat="false" ht="15" hidden="false" customHeight="false" outlineLevel="0" collapsed="false">
      <c r="C37" s="66"/>
      <c r="D37" s="67"/>
      <c r="E37" s="67"/>
      <c r="F37" s="68"/>
      <c r="G37" s="69"/>
      <c r="H37" s="69"/>
      <c r="I37" s="67"/>
      <c r="J37" s="69"/>
      <c r="K37" s="56"/>
      <c r="L37" s="56"/>
      <c r="M37" s="56"/>
      <c r="N37" s="29"/>
      <c r="O37" s="39"/>
      <c r="P37" s="39"/>
      <c r="Q37" s="39"/>
      <c r="R37" s="40"/>
      <c r="S37" s="41"/>
      <c r="T37" s="41"/>
      <c r="U37" s="40"/>
      <c r="W37" s="31"/>
      <c r="Y37" s="31"/>
      <c r="AA37" s="31"/>
    </row>
    <row r="38" customFormat="false" ht="19.5" hidden="false" customHeight="false" outlineLevel="0" collapsed="false">
      <c r="C38" s="1" t="str">
        <f aca="false">"Portanto, o KWhp cálculado a ser licitado será de até: "&amp;G33</f>
        <v>Portanto, o KWhp cálculado a ser licitado será de até: 1126</v>
      </c>
      <c r="D38" s="67"/>
      <c r="E38" s="67"/>
      <c r="F38" s="68"/>
      <c r="G38" s="69"/>
      <c r="H38" s="69"/>
      <c r="I38" s="67"/>
      <c r="J38" s="69"/>
      <c r="K38" s="56"/>
      <c r="L38" s="56"/>
      <c r="M38" s="56"/>
      <c r="O38" s="39"/>
      <c r="P38" s="41"/>
      <c r="Q38" s="39"/>
      <c r="R38" s="40"/>
      <c r="S38" s="41"/>
      <c r="T38" s="41"/>
      <c r="U38" s="40"/>
      <c r="W38" s="31"/>
      <c r="Y38" s="31"/>
      <c r="AA38" s="31"/>
    </row>
    <row r="39" customFormat="false" ht="15" hidden="false" customHeight="false" outlineLevel="0" collapsed="false">
      <c r="F39" s="29"/>
      <c r="G39" s="70"/>
      <c r="H39" s="70"/>
      <c r="I39" s="71"/>
      <c r="K39" s="56"/>
      <c r="L39" s="56"/>
      <c r="M39" s="56"/>
      <c r="N39" s="72"/>
      <c r="O39" s="31"/>
      <c r="Q39" s="31"/>
      <c r="R39" s="18"/>
      <c r="U39" s="18"/>
      <c r="W39" s="31"/>
      <c r="Y39" s="31"/>
      <c r="AA39" s="31"/>
    </row>
    <row r="40" customFormat="false" ht="15" hidden="false" customHeight="false" outlineLevel="0" collapsed="false">
      <c r="F40" s="29"/>
      <c r="G40" s="70"/>
      <c r="H40" s="70"/>
      <c r="O40" s="31"/>
      <c r="P40" s="29"/>
      <c r="Q40" s="31"/>
      <c r="R40" s="29"/>
      <c r="W40" s="31"/>
      <c r="Y40" s="31"/>
      <c r="AA40" s="31"/>
    </row>
    <row r="41" customFormat="false" ht="15" hidden="false" customHeight="false" outlineLevel="0" collapsed="false">
      <c r="D41" s="73"/>
      <c r="E41" s="73"/>
      <c r="F41" s="73"/>
      <c r="G41" s="74"/>
      <c r="H41" s="74"/>
      <c r="I41" s="73"/>
      <c r="M41" s="73"/>
      <c r="O41" s="31"/>
      <c r="Q41" s="31"/>
    </row>
    <row r="42" customFormat="false" ht="15" hidden="false" customHeight="false" outlineLevel="0" collapsed="false">
      <c r="D42" s="73"/>
      <c r="E42" s="73"/>
      <c r="F42" s="73"/>
      <c r="G42" s="73"/>
      <c r="H42" s="73"/>
      <c r="I42" s="73"/>
      <c r="M42" s="73"/>
      <c r="O42" s="31"/>
      <c r="P42" s="31"/>
      <c r="Q42" s="31"/>
    </row>
    <row r="43" customFormat="false" ht="15" hidden="false" customHeight="false" outlineLevel="0" collapsed="false">
      <c r="D43" s="73"/>
      <c r="E43" s="73"/>
      <c r="F43" s="73"/>
      <c r="G43" s="73"/>
      <c r="H43" s="73"/>
      <c r="I43" s="73"/>
      <c r="M43" s="73"/>
      <c r="O43" s="31"/>
      <c r="Q43" s="31"/>
    </row>
    <row r="44" customFormat="false" ht="15" hidden="false" customHeight="false" outlineLevel="0" collapsed="false">
      <c r="D44" s="73"/>
      <c r="E44" s="73"/>
      <c r="F44" s="73"/>
      <c r="G44" s="73"/>
      <c r="H44" s="73"/>
      <c r="I44" s="73"/>
      <c r="M44" s="73"/>
    </row>
    <row r="45" customFormat="false" ht="15" hidden="false" customHeight="false" outlineLevel="0" collapsed="false">
      <c r="D45" s="73"/>
      <c r="E45" s="73"/>
      <c r="F45" s="73"/>
      <c r="G45" s="73"/>
      <c r="H45" s="73"/>
      <c r="I45" s="73"/>
      <c r="M45" s="73"/>
    </row>
    <row r="46" customFormat="false" ht="15" hidden="false" customHeight="false" outlineLevel="0" collapsed="false">
      <c r="D46" s="73"/>
      <c r="E46" s="73"/>
      <c r="F46" s="73"/>
      <c r="G46" s="73"/>
      <c r="H46" s="73"/>
      <c r="I46" s="73"/>
      <c r="M46" s="73"/>
    </row>
    <row r="47" customFormat="false" ht="15" hidden="false" customHeight="false" outlineLevel="0" collapsed="false">
      <c r="D47" s="73"/>
      <c r="E47" s="73"/>
      <c r="F47" s="73"/>
      <c r="G47" s="73"/>
      <c r="H47" s="73"/>
      <c r="I47" s="73"/>
      <c r="M47" s="73"/>
      <c r="O47" s="18"/>
      <c r="P47" s="18"/>
      <c r="Q47" s="18"/>
      <c r="S47" s="18"/>
      <c r="T47" s="18"/>
      <c r="U47" s="18"/>
    </row>
    <row r="48" customFormat="false" ht="15" hidden="false" customHeight="false" outlineLevel="0" collapsed="false">
      <c r="D48" s="73"/>
      <c r="E48" s="73"/>
      <c r="F48" s="73"/>
      <c r="G48" s="73"/>
      <c r="H48" s="73"/>
      <c r="I48" s="73"/>
      <c r="J48" s="73"/>
      <c r="K48" s="73"/>
      <c r="L48" s="73"/>
      <c r="M48" s="73"/>
      <c r="O48" s="18"/>
      <c r="P48" s="18"/>
      <c r="Q48" s="18"/>
      <c r="S48" s="18"/>
      <c r="T48" s="18"/>
      <c r="U48" s="18"/>
    </row>
    <row r="49" customFormat="false" ht="15" hidden="false" customHeight="false" outlineLevel="0" collapsed="false">
      <c r="D49" s="73"/>
      <c r="E49" s="73"/>
      <c r="F49" s="73"/>
      <c r="G49" s="73"/>
      <c r="H49" s="73"/>
      <c r="I49" s="73"/>
      <c r="J49" s="73"/>
      <c r="K49" s="73"/>
      <c r="L49" s="73"/>
      <c r="M49" s="73"/>
    </row>
    <row r="50" customFormat="false" ht="15" hidden="false" customHeight="false" outlineLevel="0" collapsed="false">
      <c r="D50" s="73"/>
      <c r="E50" s="73"/>
      <c r="F50" s="73"/>
      <c r="G50" s="73"/>
      <c r="H50" s="73"/>
      <c r="I50" s="73"/>
      <c r="J50" s="73"/>
      <c r="K50" s="73"/>
      <c r="L50" s="73"/>
      <c r="M50" s="73"/>
      <c r="O50" s="75"/>
      <c r="Q50" s="75"/>
      <c r="S50" s="75"/>
      <c r="U50" s="75"/>
    </row>
    <row r="51" customFormat="false" ht="15" hidden="false" customHeight="false" outlineLevel="0" collapsed="false">
      <c r="D51" s="73"/>
      <c r="E51" s="73"/>
      <c r="F51" s="73"/>
      <c r="G51" s="73"/>
      <c r="H51" s="73"/>
      <c r="I51" s="73"/>
      <c r="J51" s="73"/>
      <c r="K51" s="73"/>
      <c r="L51" s="73"/>
      <c r="M51" s="73"/>
    </row>
    <row r="52" customFormat="false" ht="15" hidden="false" customHeight="false" outlineLevel="0" collapsed="false">
      <c r="D52" s="73"/>
      <c r="E52" s="73"/>
      <c r="F52" s="73"/>
      <c r="G52" s="73"/>
      <c r="H52" s="73"/>
      <c r="I52" s="73"/>
      <c r="J52" s="73"/>
      <c r="K52" s="73"/>
      <c r="L52" s="73"/>
      <c r="M52" s="73"/>
      <c r="O52" s="75"/>
      <c r="Q52" s="75"/>
      <c r="S52" s="75"/>
      <c r="U52" s="75"/>
      <c r="V52" s="76"/>
    </row>
    <row r="53" customFormat="false" ht="15" hidden="false" customHeight="false" outlineLevel="0" collapsed="false">
      <c r="D53" s="73"/>
      <c r="E53" s="73"/>
      <c r="F53" s="73"/>
      <c r="G53" s="73"/>
      <c r="H53" s="73"/>
      <c r="I53" s="73"/>
      <c r="J53" s="73"/>
      <c r="K53" s="73"/>
      <c r="L53" s="73"/>
      <c r="M53" s="73"/>
      <c r="O53" s="75"/>
      <c r="Q53" s="75"/>
      <c r="S53" s="75"/>
      <c r="U53" s="75"/>
      <c r="V53" s="76"/>
    </row>
    <row r="54" customFormat="false" ht="15" hidden="false" customHeight="false" outlineLevel="0" collapsed="false">
      <c r="D54" s="73"/>
      <c r="E54" s="73"/>
      <c r="F54" s="73"/>
      <c r="G54" s="73"/>
      <c r="H54" s="73"/>
      <c r="I54" s="73"/>
      <c r="J54" s="73"/>
      <c r="K54" s="73"/>
      <c r="L54" s="73"/>
      <c r="M54" s="73"/>
    </row>
    <row r="57" customFormat="false" ht="15" hidden="false" customHeight="false" outlineLevel="0" collapsed="false">
      <c r="Q57" s="77"/>
    </row>
    <row r="58" customFormat="false" ht="15" hidden="false" customHeight="false" outlineLevel="0" collapsed="false">
      <c r="Q58" s="77"/>
    </row>
    <row r="60" customFormat="false" ht="15" hidden="false" customHeight="false" outlineLevel="0" collapsed="false">
      <c r="Q60" s="77"/>
    </row>
    <row r="61" customFormat="false" ht="15" hidden="false" customHeight="false" outlineLevel="0" collapsed="false">
      <c r="Q61" s="77"/>
    </row>
    <row r="62" customFormat="false" ht="15" hidden="false" customHeight="false" outlineLevel="0" collapsed="false">
      <c r="D62" s="73"/>
      <c r="E62" s="73"/>
      <c r="F62" s="73"/>
      <c r="G62" s="73"/>
      <c r="H62" s="73"/>
      <c r="I62" s="73"/>
      <c r="J62" s="73"/>
      <c r="K62" s="73"/>
      <c r="L62" s="73"/>
      <c r="M62" s="73"/>
    </row>
    <row r="63" customFormat="false" ht="15" hidden="false" customHeight="false" outlineLevel="0" collapsed="false">
      <c r="D63" s="73"/>
      <c r="E63" s="73"/>
      <c r="F63" s="73"/>
      <c r="G63" s="73"/>
      <c r="H63" s="73"/>
      <c r="I63" s="73"/>
      <c r="J63" s="73"/>
      <c r="K63" s="73"/>
      <c r="L63" s="73"/>
      <c r="M63" s="73"/>
      <c r="AD63" s="0" t="s">
        <v>37</v>
      </c>
      <c r="AL63" s="0" t="s">
        <v>38</v>
      </c>
    </row>
    <row r="64" customFormat="false" ht="15" hidden="false" customHeight="false" outlineLevel="0" collapsed="false"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customFormat="false" ht="15" hidden="false" customHeight="false" outlineLevel="0" collapsed="false">
      <c r="B65" s="78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8"/>
      <c r="AC65" s="78" t="n">
        <v>43101</v>
      </c>
      <c r="AD65" s="79" t="n">
        <v>1893</v>
      </c>
      <c r="AK65" s="78" t="n">
        <v>43101</v>
      </c>
      <c r="AL65" s="79" t="n">
        <v>4264</v>
      </c>
    </row>
    <row r="66" customFormat="false" ht="15" hidden="false" customHeight="false" outlineLevel="0" collapsed="false">
      <c r="B66" s="78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8"/>
      <c r="AC66" s="78" t="n">
        <v>43132</v>
      </c>
      <c r="AD66" s="80" t="n">
        <v>2528</v>
      </c>
      <c r="AK66" s="78" t="n">
        <v>43132</v>
      </c>
      <c r="AL66" s="80" t="n">
        <v>5904</v>
      </c>
    </row>
    <row r="67" customFormat="false" ht="15" hidden="false" customHeight="false" outlineLevel="0" collapsed="false">
      <c r="B67" s="78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8"/>
      <c r="AC67" s="78" t="n">
        <v>43160</v>
      </c>
      <c r="AD67" s="79" t="n">
        <v>2858</v>
      </c>
      <c r="AK67" s="78" t="n">
        <v>43160</v>
      </c>
      <c r="AL67" s="79" t="n">
        <v>6396</v>
      </c>
    </row>
    <row r="68" customFormat="false" ht="15" hidden="false" customHeight="false" outlineLevel="0" collapsed="false">
      <c r="B68" s="78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8"/>
      <c r="Q68" s="77"/>
      <c r="AC68" s="78" t="n">
        <v>43191</v>
      </c>
      <c r="AD68" s="79" t="n">
        <v>2598</v>
      </c>
      <c r="AK68" s="78" t="n">
        <v>43191</v>
      </c>
      <c r="AL68" s="79" t="n">
        <v>6068</v>
      </c>
    </row>
    <row r="69" customFormat="false" ht="15" hidden="false" customHeight="false" outlineLevel="0" collapsed="false">
      <c r="B69" s="78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8"/>
      <c r="Q69" s="77"/>
      <c r="W69" s="18"/>
      <c r="AC69" s="78" t="n">
        <v>43221</v>
      </c>
      <c r="AD69" s="81" t="n">
        <v>3161</v>
      </c>
      <c r="AF69" s="0" t="s">
        <v>39</v>
      </c>
      <c r="AG69" s="18" t="n">
        <f aca="false">((SUM(AD65:AD76))/12)-100</f>
        <v>2598.75</v>
      </c>
      <c r="AH69" s="0" t="s">
        <v>40</v>
      </c>
      <c r="AK69" s="78" t="n">
        <v>43221</v>
      </c>
      <c r="AL69" s="81" t="n">
        <v>7134</v>
      </c>
      <c r="AN69" s="0" t="s">
        <v>39</v>
      </c>
      <c r="AO69" s="18" t="n">
        <f aca="false">((SUM(AL65:AL76))/12)</f>
        <v>6703.5</v>
      </c>
      <c r="AP69" s="0" t="s">
        <v>40</v>
      </c>
    </row>
    <row r="70" customFormat="false" ht="15" hidden="false" customHeight="false" outlineLevel="0" collapsed="false">
      <c r="B70" s="78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8"/>
      <c r="W70" s="18"/>
      <c r="AC70" s="78" t="n">
        <v>43252</v>
      </c>
      <c r="AD70" s="79" t="n">
        <v>2585</v>
      </c>
      <c r="AF70" s="0" t="s">
        <v>10</v>
      </c>
      <c r="AG70" s="18" t="n">
        <v>5.15</v>
      </c>
      <c r="AK70" s="78" t="n">
        <v>43252</v>
      </c>
      <c r="AL70" s="79" t="n">
        <v>6478</v>
      </c>
      <c r="AN70" s="0" t="s">
        <v>10</v>
      </c>
      <c r="AO70" s="18" t="n">
        <v>5.07</v>
      </c>
    </row>
    <row r="71" customFormat="false" ht="15" hidden="false" customHeight="false" outlineLevel="0" collapsed="false">
      <c r="B71" s="78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8"/>
      <c r="Q71" s="77"/>
      <c r="W71" s="18"/>
      <c r="AC71" s="78" t="n">
        <v>43282</v>
      </c>
      <c r="AD71" s="79" t="n">
        <v>2537</v>
      </c>
      <c r="AF71" s="0" t="s">
        <v>11</v>
      </c>
      <c r="AG71" s="18" t="n">
        <v>0.7</v>
      </c>
      <c r="AK71" s="78" t="n">
        <v>43282</v>
      </c>
      <c r="AL71" s="79" t="n">
        <v>6888</v>
      </c>
      <c r="AN71" s="0" t="s">
        <v>11</v>
      </c>
      <c r="AO71" s="18" t="n">
        <v>0.7</v>
      </c>
    </row>
    <row r="72" customFormat="false" ht="15" hidden="false" customHeight="false" outlineLevel="0" collapsed="false">
      <c r="B72" s="78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8"/>
      <c r="Q72" s="77"/>
      <c r="W72" s="18"/>
      <c r="AC72" s="78" t="n">
        <v>43313</v>
      </c>
      <c r="AD72" s="79" t="n">
        <v>2241</v>
      </c>
      <c r="AF72" s="0" t="s">
        <v>41</v>
      </c>
      <c r="AG72" s="18" t="n">
        <f aca="false">(AG70*AG71*365*40)/12</f>
        <v>4386.08</v>
      </c>
      <c r="AH72" s="0" t="s">
        <v>40</v>
      </c>
      <c r="AK72" s="78" t="n">
        <v>43313</v>
      </c>
      <c r="AL72" s="79" t="n">
        <v>5986</v>
      </c>
      <c r="AN72" s="0" t="s">
        <v>41</v>
      </c>
      <c r="AO72" s="18" t="n">
        <f aca="false">(AO70*AO71*365*75)/12</f>
        <v>8096.16</v>
      </c>
      <c r="AP72" s="0" t="s">
        <v>40</v>
      </c>
    </row>
    <row r="73" customFormat="false" ht="15" hidden="false" customHeight="false" outlineLevel="0" collapsed="false">
      <c r="B73" s="78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8"/>
      <c r="AC73" s="78" t="n">
        <v>43344</v>
      </c>
      <c r="AD73" s="79" t="n">
        <v>2783</v>
      </c>
      <c r="AK73" s="78" t="n">
        <v>43344</v>
      </c>
      <c r="AL73" s="79" t="n">
        <v>9102</v>
      </c>
    </row>
    <row r="74" customFormat="false" ht="15" hidden="false" customHeight="false" outlineLevel="0" collapsed="false">
      <c r="B74" s="78"/>
      <c r="N74" s="78"/>
      <c r="W74" s="82"/>
      <c r="AC74" s="78" t="n">
        <v>43374</v>
      </c>
      <c r="AD74" s="79" t="n">
        <v>3202</v>
      </c>
      <c r="AG74" s="82" t="n">
        <f aca="false">AG69/AG72</f>
        <v>0.5925</v>
      </c>
      <c r="AH74" s="0" t="s">
        <v>42</v>
      </c>
      <c r="AK74" s="78" t="n">
        <v>43374</v>
      </c>
      <c r="AL74" s="79" t="n">
        <v>7790</v>
      </c>
      <c r="AO74" s="82" t="n">
        <f aca="false">AO69/AO72</f>
        <v>0.828</v>
      </c>
      <c r="AP74" s="0" t="s">
        <v>43</v>
      </c>
    </row>
    <row r="75" customFormat="false" ht="15" hidden="false" customHeight="false" outlineLevel="0" collapsed="false">
      <c r="B75" s="78"/>
      <c r="N75" s="78"/>
      <c r="AC75" s="78" t="n">
        <v>43405</v>
      </c>
      <c r="AD75" s="79" t="n">
        <v>3139</v>
      </c>
      <c r="AK75" s="78" t="n">
        <v>43405</v>
      </c>
      <c r="AL75" s="79" t="n">
        <v>7708</v>
      </c>
    </row>
    <row r="76" customFormat="false" ht="15" hidden="false" customHeight="false" outlineLevel="0" collapsed="false">
      <c r="B76" s="78"/>
      <c r="N76" s="78"/>
      <c r="AC76" s="78" t="n">
        <v>43435</v>
      </c>
      <c r="AD76" s="79" t="n">
        <v>2860</v>
      </c>
      <c r="AK76" s="78" t="n">
        <v>43435</v>
      </c>
      <c r="AL76" s="79" t="n">
        <v>6724</v>
      </c>
    </row>
    <row r="77" customFormat="false" ht="15" hidden="false" customHeight="false" outlineLevel="0" collapsed="false">
      <c r="AG77" s="0" t="n">
        <f aca="false">AG72*12</f>
        <v>52632.96</v>
      </c>
    </row>
    <row r="78" customFormat="false" ht="15" hidden="false" customHeight="false" outlineLevel="0" collapsed="false">
      <c r="Q78" s="77"/>
    </row>
    <row r="79" customFormat="false" ht="15" hidden="false" customHeight="false" outlineLevel="0" collapsed="false">
      <c r="Q79" s="77"/>
    </row>
    <row r="80" customFormat="false" ht="15" hidden="false" customHeight="false" outlineLevel="0" collapsed="false">
      <c r="P80" s="31"/>
    </row>
    <row r="83" customFormat="false" ht="15" hidden="false" customHeight="false" outlineLevel="0" collapsed="false">
      <c r="H83" s="18"/>
    </row>
    <row r="84" customFormat="false" ht="15" hidden="false" customHeight="false" outlineLevel="0" collapsed="false">
      <c r="H84" s="18"/>
    </row>
    <row r="85" customFormat="false" ht="15" hidden="false" customHeight="false" outlineLevel="0" collapsed="false">
      <c r="H85" s="18"/>
    </row>
    <row r="86" customFormat="false" ht="15" hidden="false" customHeight="false" outlineLevel="0" collapsed="false">
      <c r="H86" s="18"/>
    </row>
    <row r="87" customFormat="false" ht="15" hidden="false" customHeight="false" outlineLevel="0" collapsed="false">
      <c r="H87" s="18"/>
    </row>
    <row r="88" customFormat="false" ht="15" hidden="false" customHeight="false" outlineLevel="0" collapsed="false">
      <c r="H88" s="82"/>
    </row>
  </sheetData>
  <mergeCells count="2">
    <mergeCell ref="D5:K5"/>
    <mergeCell ref="O6:R6"/>
  </mergeCells>
  <printOptions headings="false" gridLines="false" gridLinesSet="true" horizontalCentered="false" verticalCentered="false"/>
  <pageMargins left="0.511805555555555" right="0.511805555555555" top="1.18125" bottom="1.18125" header="0.511805555555555" footer="0.511805555555555"/>
  <pageSetup paperSize="9" scale="100" firstPageNumber="0" fitToWidth="0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K8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34"/>
    <col collapsed="false" customWidth="true" hidden="false" outlineLevel="0" max="3" min="3" style="0" width="48.86"/>
    <col collapsed="false" customWidth="true" hidden="false" outlineLevel="0" max="4" min="4" style="0" width="12.42"/>
    <col collapsed="false" customWidth="true" hidden="false" outlineLevel="0" max="5" min="5" style="0" width="16.42"/>
    <col collapsed="false" customWidth="true" hidden="false" outlineLevel="0" max="10" min="6" style="0" width="9"/>
    <col collapsed="false" customWidth="true" hidden="false" outlineLevel="0" max="11" min="11" style="0" width="19.85"/>
    <col collapsed="false" customWidth="true" hidden="false" outlineLevel="0" max="64" min="12" style="0" width="9"/>
  </cols>
  <sheetData>
    <row r="5" customFormat="false" ht="15" hidden="false" customHeight="false" outlineLevel="0" collapsed="false">
      <c r="B5" s="83" t="s">
        <v>124</v>
      </c>
      <c r="C5" s="83"/>
      <c r="D5" s="83"/>
      <c r="E5" s="83"/>
    </row>
    <row r="6" customFormat="false" ht="15" hidden="false" customHeight="false" outlineLevel="0" collapsed="false">
      <c r="B6" s="0" t="s">
        <v>45</v>
      </c>
      <c r="C6" s="2" t="s">
        <v>24</v>
      </c>
      <c r="K6" s="84" t="str">
        <f aca="false">B5</f>
        <v>GOIATUBA</v>
      </c>
    </row>
    <row r="7" customFormat="false" ht="15" hidden="false" customHeight="false" outlineLevel="0" collapsed="false">
      <c r="B7" s="0" t="s">
        <v>46</v>
      </c>
      <c r="D7" s="0" t="s">
        <v>47</v>
      </c>
      <c r="E7" s="18" t="n">
        <v>561.08</v>
      </c>
      <c r="J7" s="78" t="n">
        <v>43466</v>
      </c>
      <c r="K7" s="106" t="n">
        <v>2353</v>
      </c>
    </row>
    <row r="8" customFormat="false" ht="15" hidden="false" customHeight="false" outlineLevel="0" collapsed="false">
      <c r="B8" s="0" t="s">
        <v>48</v>
      </c>
      <c r="E8" s="18" t="s">
        <v>125</v>
      </c>
      <c r="J8" s="78" t="n">
        <v>43497</v>
      </c>
      <c r="K8" s="106" t="n">
        <v>2316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K20*12</f>
        <v>25906.33</v>
      </c>
      <c r="J9" s="78" t="n">
        <v>43525</v>
      </c>
      <c r="K9" s="106" t="n">
        <v>1900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5.2</v>
      </c>
      <c r="J10" s="78" t="n">
        <v>43556</v>
      </c>
      <c r="K10" s="106" t="n">
        <v>2179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0.75</v>
      </c>
      <c r="J11" s="78" t="n">
        <v>43586</v>
      </c>
      <c r="K11" s="106" t="n">
        <v>2083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1423.5</v>
      </c>
      <c r="J12" s="78" t="n">
        <v>43617</v>
      </c>
      <c r="K12" s="106" t="n">
        <v>1565</v>
      </c>
    </row>
    <row r="13" customFormat="false" ht="15" hidden="false" customHeight="false" outlineLevel="0" collapsed="false">
      <c r="J13" s="78" t="n">
        <v>43647</v>
      </c>
      <c r="K13" s="106" t="n">
        <v>1433</v>
      </c>
    </row>
    <row r="14" customFormat="false" ht="15" hidden="false" customHeight="false" outlineLevel="0" collapsed="false">
      <c r="J14" s="78" t="n">
        <v>43678</v>
      </c>
      <c r="K14" s="106" t="n">
        <v>1749</v>
      </c>
    </row>
    <row r="15" customFormat="false" ht="15" hidden="false" customHeight="false" outlineLevel="0" collapsed="false">
      <c r="B15" s="88" t="s">
        <v>60</v>
      </c>
      <c r="C15" s="88"/>
      <c r="D15" s="88"/>
      <c r="E15" s="88"/>
      <c r="J15" s="78" t="n">
        <v>43709</v>
      </c>
      <c r="K15" s="106" t="n">
        <v>2873</v>
      </c>
    </row>
    <row r="16" customFormat="false" ht="15" hidden="false" customHeight="false" outlineLevel="0" collapsed="false">
      <c r="J16" s="78" t="n">
        <v>43739</v>
      </c>
      <c r="K16" s="106" t="n">
        <v>2758</v>
      </c>
    </row>
    <row r="17" customFormat="false" ht="15" hidden="false" customHeight="false" outlineLevel="0" collapsed="false">
      <c r="B17" s="0" t="s">
        <v>61</v>
      </c>
      <c r="C17" s="0" t="s">
        <v>62</v>
      </c>
      <c r="D17" s="0" t="s">
        <v>63</v>
      </c>
      <c r="E17" s="89" t="n">
        <f aca="false">E9/E12</f>
        <v>18.2</v>
      </c>
      <c r="J17" s="78" t="n">
        <v>43770</v>
      </c>
      <c r="K17" s="106" t="n">
        <v>2526</v>
      </c>
    </row>
    <row r="18" customFormat="false" ht="15" hidden="false" customHeight="false" outlineLevel="0" collapsed="false">
      <c r="J18" s="78" t="n">
        <v>43800</v>
      </c>
      <c r="K18" s="106" t="n">
        <v>2171.33</v>
      </c>
    </row>
    <row r="19" customFormat="false" ht="15" hidden="false" customHeight="false" outlineLevel="0" collapsed="false">
      <c r="E19" s="18"/>
    </row>
    <row r="20" customFormat="false" ht="15" hidden="false" customHeight="false" outlineLevel="0" collapsed="false">
      <c r="B20" s="109" t="s">
        <v>65</v>
      </c>
      <c r="C20" s="110"/>
      <c r="D20" s="110" t="s">
        <v>66</v>
      </c>
      <c r="E20" s="111" t="n">
        <v>335</v>
      </c>
      <c r="J20" s="0" t="s">
        <v>39</v>
      </c>
      <c r="K20" s="0" t="n">
        <f aca="false">(SUM(K7:K18))/12</f>
        <v>2158.86083333333</v>
      </c>
    </row>
    <row r="21" customFormat="false" ht="15" hidden="false" customHeight="false" outlineLevel="0" collapsed="false">
      <c r="B21" s="91" t="s">
        <v>67</v>
      </c>
      <c r="C21" s="0" t="s">
        <v>68</v>
      </c>
      <c r="D21" s="0" t="s">
        <v>69</v>
      </c>
      <c r="E21" s="93" t="n">
        <f aca="false">(E17*1000)/E20</f>
        <v>54.33</v>
      </c>
    </row>
    <row r="22" customFormat="false" ht="15" hidden="false" customHeight="false" outlineLevel="0" collapsed="false">
      <c r="B22" s="91" t="s">
        <v>70</v>
      </c>
      <c r="D22" s="0" t="s">
        <v>47</v>
      </c>
      <c r="E22" s="93" t="n">
        <v>1.98</v>
      </c>
    </row>
    <row r="23" customFormat="false" ht="15" hidden="false" customHeight="false" outlineLevel="0" collapsed="false">
      <c r="B23" s="91" t="s">
        <v>71</v>
      </c>
      <c r="C23" s="0" t="s">
        <v>72</v>
      </c>
      <c r="D23" s="0" t="s">
        <v>47</v>
      </c>
      <c r="E23" s="93" t="n">
        <f aca="false">E21*E22</f>
        <v>107.57</v>
      </c>
    </row>
    <row r="24" customFormat="false" ht="15" hidden="false" customHeight="false" outlineLevel="0" collapsed="false">
      <c r="B24" s="91" t="s">
        <v>73</v>
      </c>
      <c r="D24" s="0" t="s">
        <v>74</v>
      </c>
      <c r="E24" s="93" t="n">
        <v>839</v>
      </c>
    </row>
    <row r="25" customFormat="false" ht="15" hidden="false" customHeight="false" outlineLevel="0" collapsed="false">
      <c r="B25" s="91"/>
      <c r="E25" s="97"/>
    </row>
    <row r="26" customFormat="false" ht="15" hidden="false" customHeight="false" outlineLevel="0" collapsed="false">
      <c r="B26" s="94" t="s">
        <v>75</v>
      </c>
      <c r="C26" s="95"/>
      <c r="D26" s="95" t="s">
        <v>74</v>
      </c>
      <c r="E26" s="96" t="n">
        <f aca="false">E24*E21</f>
        <v>45582.87</v>
      </c>
    </row>
    <row r="29" customFormat="false" ht="15" hidden="false" customHeight="false" outlineLevel="0" collapsed="false">
      <c r="B29" s="88" t="s">
        <v>77</v>
      </c>
      <c r="C29" s="88"/>
      <c r="D29" s="88"/>
      <c r="E29" s="88"/>
    </row>
    <row r="31" customFormat="false" ht="15" hidden="false" customHeight="false" outlineLevel="0" collapsed="false">
      <c r="B31" s="0" t="s">
        <v>78</v>
      </c>
      <c r="C31" s="0" t="s">
        <v>79</v>
      </c>
      <c r="D31" s="0" t="s">
        <v>47</v>
      </c>
      <c r="E31" s="89" t="n">
        <f aca="false">E7*0.8</f>
        <v>448.86</v>
      </c>
    </row>
    <row r="32" customFormat="false" ht="15" hidden="false" customHeight="false" outlineLevel="0" collapsed="false">
      <c r="E32" s="18"/>
    </row>
    <row r="33" customFormat="false" ht="15" hidden="false" customHeight="false" outlineLevel="0" collapsed="false">
      <c r="E33" s="18"/>
    </row>
    <row r="34" customFormat="false" ht="15" hidden="false" customHeight="false" outlineLevel="0" collapsed="false">
      <c r="B34" s="109" t="s">
        <v>70</v>
      </c>
      <c r="C34" s="110"/>
      <c r="D34" s="110" t="s">
        <v>47</v>
      </c>
      <c r="E34" s="111" t="n">
        <v>1.98</v>
      </c>
    </row>
    <row r="35" customFormat="false" ht="15" hidden="false" customHeight="false" outlineLevel="0" collapsed="false">
      <c r="B35" s="91" t="s">
        <v>67</v>
      </c>
      <c r="C35" s="0" t="s">
        <v>80</v>
      </c>
      <c r="D35" s="0" t="s">
        <v>69</v>
      </c>
      <c r="E35" s="98" t="n">
        <f aca="false">E31/E34</f>
        <v>226.7</v>
      </c>
    </row>
    <row r="36" customFormat="false" ht="15" hidden="false" customHeight="false" outlineLevel="0" collapsed="false">
      <c r="B36" s="91" t="s">
        <v>81</v>
      </c>
      <c r="D36" s="0" t="s">
        <v>69</v>
      </c>
      <c r="E36" s="98" t="n">
        <v>226</v>
      </c>
    </row>
    <row r="37" customFormat="false" ht="15" hidden="false" customHeight="false" outlineLevel="0" collapsed="false">
      <c r="B37" s="91" t="s">
        <v>65</v>
      </c>
      <c r="D37" s="0" t="s">
        <v>66</v>
      </c>
      <c r="E37" s="93" t="n">
        <v>335</v>
      </c>
    </row>
    <row r="38" customFormat="false" ht="15" hidden="false" customHeight="false" outlineLevel="0" collapsed="false">
      <c r="B38" s="91" t="s">
        <v>82</v>
      </c>
      <c r="C38" s="0" t="s">
        <v>83</v>
      </c>
      <c r="D38" s="0" t="s">
        <v>63</v>
      </c>
      <c r="E38" s="98" t="n">
        <f aca="false">(E36*E37)/1000</f>
        <v>75.71</v>
      </c>
    </row>
    <row r="39" customFormat="false" ht="15" hidden="false" customHeight="false" outlineLevel="0" collapsed="false">
      <c r="B39" s="91"/>
      <c r="E39" s="93"/>
    </row>
    <row r="40" customFormat="false" ht="15" hidden="false" customHeight="false" outlineLevel="0" collapsed="false">
      <c r="B40" s="91" t="s">
        <v>84</v>
      </c>
      <c r="C40" s="0" t="s">
        <v>85</v>
      </c>
      <c r="D40" s="0" t="s">
        <v>40</v>
      </c>
      <c r="E40" s="98" t="n">
        <f aca="false">E38*E12</f>
        <v>107773.19</v>
      </c>
    </row>
    <row r="41" customFormat="false" ht="15" hidden="false" customHeight="false" outlineLevel="0" collapsed="false">
      <c r="B41" s="91" t="s">
        <v>86</v>
      </c>
      <c r="C41" s="0" t="s">
        <v>51</v>
      </c>
      <c r="D41" s="0" t="s">
        <v>40</v>
      </c>
      <c r="E41" s="93" t="n">
        <f aca="false">K20*12</f>
        <v>25906.33</v>
      </c>
    </row>
    <row r="42" customFormat="false" ht="15" hidden="false" customHeight="false" outlineLevel="0" collapsed="false">
      <c r="B42" s="91"/>
      <c r="E42" s="93"/>
    </row>
    <row r="43" customFormat="false" ht="15" hidden="false" customHeight="false" outlineLevel="0" collapsed="false">
      <c r="B43" s="91" t="s">
        <v>87</v>
      </c>
      <c r="C43" s="0" t="s">
        <v>88</v>
      </c>
      <c r="D43" s="0" t="s">
        <v>89</v>
      </c>
      <c r="E43" s="100" t="n">
        <f aca="false">E41/E40</f>
        <v>0.24</v>
      </c>
    </row>
    <row r="44" customFormat="false" ht="15" hidden="false" customHeight="false" outlineLevel="0" collapsed="false">
      <c r="B44" s="91"/>
      <c r="E44" s="93"/>
    </row>
    <row r="45" customFormat="false" ht="15" hidden="false" customHeight="false" outlineLevel="0" collapsed="false">
      <c r="B45" s="91" t="s">
        <v>73</v>
      </c>
      <c r="D45" s="0" t="s">
        <v>74</v>
      </c>
      <c r="E45" s="93" t="n">
        <v>839</v>
      </c>
    </row>
    <row r="46" customFormat="false" ht="15" hidden="false" customHeight="false" outlineLevel="0" collapsed="false">
      <c r="B46" s="94" t="s">
        <v>75</v>
      </c>
      <c r="C46" s="95"/>
      <c r="D46" s="95" t="s">
        <v>74</v>
      </c>
      <c r="E46" s="101" t="n">
        <f aca="false">E45*E36</f>
        <v>189614</v>
      </c>
    </row>
    <row r="48" customFormat="false" ht="15" hidden="false" customHeight="false" outlineLevel="0" collapsed="false">
      <c r="B48" s="102" t="s">
        <v>90</v>
      </c>
      <c r="C48" s="102"/>
      <c r="D48" s="102"/>
      <c r="E48" s="102"/>
    </row>
    <row r="50" customFormat="false" ht="15" hidden="false" customHeight="false" outlineLevel="0" collapsed="false">
      <c r="B50" s="0" t="s">
        <v>91</v>
      </c>
      <c r="D50" s="0" t="s">
        <v>63</v>
      </c>
      <c r="E50" s="103" t="n">
        <v>30</v>
      </c>
    </row>
    <row r="51" customFormat="false" ht="15" hidden="false" customHeight="false" outlineLevel="0" collapsed="false">
      <c r="D51" s="0" t="s">
        <v>92</v>
      </c>
      <c r="E51" s="93" t="n">
        <v>21339</v>
      </c>
    </row>
    <row r="53" customFormat="false" ht="15" hidden="false" customHeight="false" outlineLevel="0" collapsed="false">
      <c r="B53" s="102" t="s">
        <v>93</v>
      </c>
      <c r="C53" s="102"/>
      <c r="D53" s="102"/>
      <c r="E53" s="102"/>
    </row>
    <row r="55" customFormat="false" ht="15" hidden="false" customHeight="false" outlineLevel="0" collapsed="false">
      <c r="B55" s="0" t="s">
        <v>91</v>
      </c>
      <c r="D55" s="0" t="s">
        <v>63</v>
      </c>
      <c r="E55" s="103" t="n">
        <v>22.5</v>
      </c>
    </row>
    <row r="56" customFormat="false" ht="15" hidden="false" customHeight="false" outlineLevel="0" collapsed="false">
      <c r="D56" s="0" t="s">
        <v>92</v>
      </c>
      <c r="E56" s="93" t="n">
        <v>20989</v>
      </c>
    </row>
    <row r="58" customFormat="false" ht="15" hidden="false" customHeight="false" outlineLevel="0" collapsed="false">
      <c r="B58" s="102" t="s">
        <v>94</v>
      </c>
      <c r="C58" s="102"/>
      <c r="D58" s="102"/>
      <c r="E58" s="102"/>
    </row>
    <row r="60" customFormat="false" ht="15" hidden="false" customHeight="false" outlineLevel="0" collapsed="false">
      <c r="B60" s="0" t="s">
        <v>91</v>
      </c>
      <c r="D60" s="0" t="s">
        <v>63</v>
      </c>
      <c r="E60" s="103" t="n">
        <v>45</v>
      </c>
    </row>
    <row r="61" customFormat="false" ht="15" hidden="false" customHeight="false" outlineLevel="0" collapsed="false">
      <c r="D61" s="0" t="s">
        <v>92</v>
      </c>
      <c r="E61" s="93" t="n">
        <v>29229</v>
      </c>
    </row>
    <row r="63" customFormat="false" ht="15" hidden="false" customHeight="false" outlineLevel="0" collapsed="false">
      <c r="B63" s="88" t="s">
        <v>95</v>
      </c>
      <c r="C63" s="88"/>
      <c r="D63" s="88"/>
      <c r="E63" s="88"/>
    </row>
    <row r="64" customFormat="false" ht="15" hidden="false" customHeight="false" outlineLevel="0" collapsed="false">
      <c r="C64" s="2" t="s">
        <v>96</v>
      </c>
    </row>
    <row r="65" customFormat="false" ht="15" hidden="false" customHeight="false" outlineLevel="0" collapsed="false">
      <c r="B65" s="0" t="s">
        <v>97</v>
      </c>
      <c r="C65" s="2" t="n">
        <v>3</v>
      </c>
      <c r="D65" s="0" t="s">
        <v>63</v>
      </c>
      <c r="E65" s="89" t="n">
        <f aca="false">C65*E55</f>
        <v>67.5</v>
      </c>
    </row>
    <row r="66" customFormat="false" ht="15" hidden="false" customHeight="false" outlineLevel="0" collapsed="false">
      <c r="E66" s="18"/>
    </row>
    <row r="68" customFormat="false" ht="15" hidden="false" customHeight="false" outlineLevel="0" collapsed="false">
      <c r="B68" s="109" t="s">
        <v>65</v>
      </c>
      <c r="C68" s="110"/>
      <c r="D68" s="110" t="s">
        <v>66</v>
      </c>
      <c r="E68" s="111" t="n">
        <v>335</v>
      </c>
    </row>
    <row r="69" customFormat="false" ht="15" hidden="false" customHeight="false" outlineLevel="0" collapsed="false">
      <c r="B69" s="91" t="s">
        <v>67</v>
      </c>
      <c r="C69" s="0" t="s">
        <v>103</v>
      </c>
      <c r="D69" s="0" t="s">
        <v>69</v>
      </c>
      <c r="E69" s="98" t="n">
        <f aca="false">(E65/E68)*1000</f>
        <v>201.49</v>
      </c>
    </row>
    <row r="70" customFormat="false" ht="15" hidden="false" customHeight="false" outlineLevel="0" collapsed="false">
      <c r="B70" s="91" t="s">
        <v>81</v>
      </c>
      <c r="D70" s="0" t="s">
        <v>69</v>
      </c>
      <c r="E70" s="98" t="n">
        <v>201</v>
      </c>
    </row>
    <row r="71" customFormat="false" ht="15" hidden="false" customHeight="false" outlineLevel="0" collapsed="false">
      <c r="B71" s="91" t="s">
        <v>70</v>
      </c>
      <c r="D71" s="0" t="s">
        <v>47</v>
      </c>
      <c r="E71" s="93" t="n">
        <v>1.98</v>
      </c>
    </row>
    <row r="72" customFormat="false" ht="15" hidden="false" customHeight="false" outlineLevel="0" collapsed="false">
      <c r="B72" s="91" t="s">
        <v>99</v>
      </c>
      <c r="C72" s="0" t="s">
        <v>72</v>
      </c>
      <c r="D72" s="0" t="s">
        <v>47</v>
      </c>
      <c r="E72" s="98" t="n">
        <f aca="false">E71*E70</f>
        <v>397.98</v>
      </c>
    </row>
    <row r="73" customFormat="false" ht="15" hidden="false" customHeight="false" outlineLevel="0" collapsed="false">
      <c r="B73" s="91" t="s">
        <v>99</v>
      </c>
      <c r="D73" s="41" t="s">
        <v>89</v>
      </c>
      <c r="E73" s="100" t="n">
        <f aca="false">E72/E7</f>
        <v>0.71</v>
      </c>
    </row>
    <row r="74" customFormat="false" ht="15" hidden="false" customHeight="false" outlineLevel="0" collapsed="false">
      <c r="B74" s="91"/>
      <c r="D74" s="41"/>
      <c r="E74" s="100"/>
    </row>
    <row r="75" customFormat="false" ht="15" hidden="false" customHeight="false" outlineLevel="0" collapsed="false">
      <c r="B75" s="91" t="s">
        <v>82</v>
      </c>
      <c r="C75" s="0" t="s">
        <v>83</v>
      </c>
      <c r="D75" s="0" t="s">
        <v>63</v>
      </c>
      <c r="E75" s="93" t="n">
        <f aca="false">E70*E68/1000</f>
        <v>67.34</v>
      </c>
    </row>
    <row r="76" customFormat="false" ht="15" hidden="false" customHeight="false" outlineLevel="0" collapsed="false">
      <c r="B76" s="91" t="s">
        <v>84</v>
      </c>
      <c r="C76" s="0" t="s">
        <v>85</v>
      </c>
      <c r="D76" s="0" t="s">
        <v>40</v>
      </c>
      <c r="E76" s="98" t="n">
        <f aca="false">E70*E68*E12/1000</f>
        <v>95851.37</v>
      </c>
    </row>
    <row r="77" customFormat="false" ht="15" hidden="false" customHeight="false" outlineLevel="0" collapsed="false">
      <c r="B77" s="91" t="s">
        <v>86</v>
      </c>
      <c r="C77" s="0" t="s">
        <v>51</v>
      </c>
      <c r="D77" s="0" t="s">
        <v>40</v>
      </c>
      <c r="E77" s="93" t="n">
        <f aca="false">K20*12</f>
        <v>25906.33</v>
      </c>
    </row>
    <row r="78" customFormat="false" ht="15" hidden="false" customHeight="false" outlineLevel="0" collapsed="false">
      <c r="B78" s="91"/>
      <c r="E78" s="93"/>
    </row>
    <row r="79" customFormat="false" ht="15" hidden="false" customHeight="false" outlineLevel="0" collapsed="false">
      <c r="B79" s="91" t="s">
        <v>87</v>
      </c>
      <c r="C79" s="0" t="s">
        <v>88</v>
      </c>
      <c r="D79" s="0" t="s">
        <v>89</v>
      </c>
      <c r="E79" s="104" t="n">
        <f aca="false">E77/E76</f>
        <v>0.2703</v>
      </c>
      <c r="F79" s="112" t="n">
        <f aca="false">1-E79</f>
        <v>0.7297</v>
      </c>
    </row>
    <row r="80" customFormat="false" ht="15" hidden="false" customHeight="false" outlineLevel="0" collapsed="false">
      <c r="B80" s="91"/>
      <c r="E80" s="93"/>
    </row>
    <row r="81" customFormat="false" ht="15" hidden="false" customHeight="false" outlineLevel="0" collapsed="false">
      <c r="B81" s="91" t="s">
        <v>73</v>
      </c>
      <c r="D81" s="0" t="s">
        <v>74</v>
      </c>
      <c r="E81" s="93" t="n">
        <v>839</v>
      </c>
    </row>
    <row r="82" customFormat="false" ht="15" hidden="false" customHeight="false" outlineLevel="0" collapsed="false">
      <c r="B82" s="91" t="s">
        <v>75</v>
      </c>
      <c r="D82" s="0" t="s">
        <v>74</v>
      </c>
      <c r="E82" s="98" t="n">
        <f aca="false">E70*E81</f>
        <v>168639</v>
      </c>
    </row>
    <row r="83" customFormat="false" ht="15" hidden="false" customHeight="false" outlineLevel="0" collapsed="false">
      <c r="B83" s="91" t="s">
        <v>101</v>
      </c>
      <c r="D83" s="0" t="s">
        <v>74</v>
      </c>
      <c r="E83" s="98" t="n">
        <f aca="false">C65*E56</f>
        <v>62967</v>
      </c>
    </row>
    <row r="84" customFormat="false" ht="15" hidden="false" customHeight="false" outlineLevel="0" collapsed="false">
      <c r="B84" s="94" t="s">
        <v>102</v>
      </c>
      <c r="C84" s="95"/>
      <c r="D84" s="95" t="s">
        <v>74</v>
      </c>
      <c r="E84" s="101" t="n">
        <f aca="false">SUM(E82:E83)</f>
        <v>231606</v>
      </c>
    </row>
  </sheetData>
  <mergeCells count="7">
    <mergeCell ref="B5:E5"/>
    <mergeCell ref="B15:E15"/>
    <mergeCell ref="B29:E29"/>
    <mergeCell ref="B48:E48"/>
    <mergeCell ref="B53:E53"/>
    <mergeCell ref="B58:E58"/>
    <mergeCell ref="B63:E63"/>
  </mergeCells>
  <printOptions headings="false" gridLines="false" gridLinesSet="true" horizontalCentered="false" verticalCentered="false"/>
  <pageMargins left="0.511805555555555" right="0.511805555555555" top="1.18125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K8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34"/>
    <col collapsed="false" customWidth="true" hidden="false" outlineLevel="0" max="3" min="3" style="0" width="48.86"/>
    <col collapsed="false" customWidth="true" hidden="false" outlineLevel="0" max="4" min="4" style="0" width="15.86"/>
    <col collapsed="false" customWidth="true" hidden="false" outlineLevel="0" max="5" min="5" style="0" width="19"/>
    <col collapsed="false" customWidth="true" hidden="false" outlineLevel="0" max="10" min="6" style="0" width="9"/>
    <col collapsed="false" customWidth="true" hidden="false" outlineLevel="0" max="11" min="11" style="0" width="18.14"/>
    <col collapsed="false" customWidth="true" hidden="false" outlineLevel="0" max="64" min="12" style="0" width="9"/>
  </cols>
  <sheetData>
    <row r="5" customFormat="false" ht="15" hidden="false" customHeight="false" outlineLevel="0" collapsed="false">
      <c r="B5" s="83" t="s">
        <v>126</v>
      </c>
      <c r="C5" s="83"/>
      <c r="D5" s="83"/>
      <c r="E5" s="83"/>
    </row>
    <row r="6" customFormat="false" ht="15" hidden="false" customHeight="false" outlineLevel="0" collapsed="false">
      <c r="B6" s="0" t="s">
        <v>45</v>
      </c>
      <c r="C6" s="2" t="s">
        <v>24</v>
      </c>
      <c r="K6" s="84" t="str">
        <f aca="false">B5</f>
        <v>INHUMAS</v>
      </c>
    </row>
    <row r="7" customFormat="false" ht="15" hidden="false" customHeight="false" outlineLevel="0" collapsed="false">
      <c r="B7" s="0" t="s">
        <v>46</v>
      </c>
      <c r="D7" s="0" t="s">
        <v>47</v>
      </c>
      <c r="E7" s="18" t="n">
        <v>582.48</v>
      </c>
      <c r="J7" s="78" t="n">
        <v>43466</v>
      </c>
      <c r="K7" s="106" t="n">
        <v>2124</v>
      </c>
    </row>
    <row r="8" customFormat="false" ht="15" hidden="false" customHeight="false" outlineLevel="0" collapsed="false">
      <c r="B8" s="0" t="s">
        <v>48</v>
      </c>
      <c r="E8" s="18" t="s">
        <v>127</v>
      </c>
      <c r="J8" s="78" t="n">
        <v>43497</v>
      </c>
      <c r="K8" s="106" t="n">
        <v>2327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K20*12</f>
        <v>24406</v>
      </c>
      <c r="J9" s="78" t="n">
        <v>43525</v>
      </c>
      <c r="K9" s="106" t="n">
        <v>2187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5.26</v>
      </c>
      <c r="J10" s="78" t="n">
        <v>43556</v>
      </c>
      <c r="K10" s="106" t="n">
        <v>2083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0.75</v>
      </c>
      <c r="J11" s="78" t="n">
        <v>43586</v>
      </c>
      <c r="K11" s="106" t="n">
        <v>1818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1439.93</v>
      </c>
      <c r="J12" s="78" t="n">
        <v>43617</v>
      </c>
      <c r="K12" s="106" t="n">
        <v>1580</v>
      </c>
    </row>
    <row r="13" customFormat="false" ht="15" hidden="false" customHeight="false" outlineLevel="0" collapsed="false">
      <c r="J13" s="78" t="n">
        <v>43647</v>
      </c>
      <c r="K13" s="106" t="n">
        <v>1327</v>
      </c>
    </row>
    <row r="14" customFormat="false" ht="15" hidden="false" customHeight="false" outlineLevel="0" collapsed="false">
      <c r="J14" s="78" t="n">
        <v>43678</v>
      </c>
      <c r="K14" s="106" t="n">
        <v>1404</v>
      </c>
    </row>
    <row r="15" customFormat="false" ht="15" hidden="false" customHeight="false" outlineLevel="0" collapsed="false">
      <c r="B15" s="88" t="s">
        <v>60</v>
      </c>
      <c r="C15" s="88"/>
      <c r="D15" s="88"/>
      <c r="E15" s="88"/>
      <c r="J15" s="78" t="n">
        <v>43709</v>
      </c>
      <c r="K15" s="106" t="n">
        <v>2063</v>
      </c>
    </row>
    <row r="16" customFormat="false" ht="15" hidden="false" customHeight="false" outlineLevel="0" collapsed="false">
      <c r="J16" s="78" t="n">
        <v>43739</v>
      </c>
      <c r="K16" s="106" t="n">
        <v>2698</v>
      </c>
    </row>
    <row r="17" customFormat="false" ht="15" hidden="false" customHeight="false" outlineLevel="0" collapsed="false">
      <c r="B17" s="0" t="s">
        <v>61</v>
      </c>
      <c r="C17" s="0" t="s">
        <v>62</v>
      </c>
      <c r="D17" s="0" t="s">
        <v>63</v>
      </c>
      <c r="E17" s="89" t="n">
        <f aca="false">E9/E12</f>
        <v>16.95</v>
      </c>
      <c r="J17" s="78" t="n">
        <v>43770</v>
      </c>
      <c r="K17" s="106" t="n">
        <v>2740</v>
      </c>
    </row>
    <row r="18" customFormat="false" ht="15" hidden="false" customHeight="false" outlineLevel="0" collapsed="false">
      <c r="J18" s="78" t="n">
        <v>43800</v>
      </c>
      <c r="K18" s="106" t="n">
        <v>2055</v>
      </c>
    </row>
    <row r="19" customFormat="false" ht="15" hidden="false" customHeight="false" outlineLevel="0" collapsed="false">
      <c r="E19" s="18"/>
    </row>
    <row r="20" customFormat="false" ht="15" hidden="false" customHeight="false" outlineLevel="0" collapsed="false">
      <c r="B20" s="109" t="s">
        <v>65</v>
      </c>
      <c r="C20" s="110"/>
      <c r="D20" s="110" t="s">
        <v>66</v>
      </c>
      <c r="E20" s="111" t="n">
        <v>335</v>
      </c>
      <c r="J20" s="0" t="s">
        <v>39</v>
      </c>
      <c r="K20" s="0" t="n">
        <f aca="false">(SUM(K7:K18))/12</f>
        <v>2033.83333333333</v>
      </c>
    </row>
    <row r="21" customFormat="false" ht="15" hidden="false" customHeight="false" outlineLevel="0" collapsed="false">
      <c r="B21" s="91" t="s">
        <v>67</v>
      </c>
      <c r="C21" s="0" t="s">
        <v>68</v>
      </c>
      <c r="D21" s="0" t="s">
        <v>69</v>
      </c>
      <c r="E21" s="93" t="n">
        <f aca="false">(E17*1000)/E20</f>
        <v>50.6</v>
      </c>
    </row>
    <row r="22" customFormat="false" ht="15" hidden="false" customHeight="false" outlineLevel="0" collapsed="false">
      <c r="B22" s="91" t="s">
        <v>70</v>
      </c>
      <c r="D22" s="0" t="s">
        <v>47</v>
      </c>
      <c r="E22" s="93" t="n">
        <v>1.98</v>
      </c>
    </row>
    <row r="23" customFormat="false" ht="15" hidden="false" customHeight="false" outlineLevel="0" collapsed="false">
      <c r="B23" s="91" t="s">
        <v>71</v>
      </c>
      <c r="C23" s="0" t="s">
        <v>72</v>
      </c>
      <c r="D23" s="0" t="s">
        <v>47</v>
      </c>
      <c r="E23" s="93" t="n">
        <f aca="false">E21*E22</f>
        <v>100.19</v>
      </c>
    </row>
    <row r="24" customFormat="false" ht="15" hidden="false" customHeight="false" outlineLevel="0" collapsed="false">
      <c r="B24" s="91" t="s">
        <v>73</v>
      </c>
      <c r="D24" s="0" t="s">
        <v>74</v>
      </c>
      <c r="E24" s="93" t="n">
        <v>839</v>
      </c>
    </row>
    <row r="25" customFormat="false" ht="15" hidden="false" customHeight="false" outlineLevel="0" collapsed="false">
      <c r="B25" s="91"/>
      <c r="E25" s="97"/>
    </row>
    <row r="26" customFormat="false" ht="15" hidden="false" customHeight="false" outlineLevel="0" collapsed="false">
      <c r="B26" s="94" t="s">
        <v>75</v>
      </c>
      <c r="C26" s="95"/>
      <c r="D26" s="95" t="s">
        <v>74</v>
      </c>
      <c r="E26" s="96" t="n">
        <f aca="false">E24*E21</f>
        <v>42453.4</v>
      </c>
    </row>
    <row r="29" customFormat="false" ht="15" hidden="false" customHeight="false" outlineLevel="0" collapsed="false">
      <c r="B29" s="88" t="s">
        <v>77</v>
      </c>
      <c r="C29" s="88"/>
      <c r="D29" s="88"/>
      <c r="E29" s="88"/>
    </row>
    <row r="31" customFormat="false" ht="15" hidden="false" customHeight="false" outlineLevel="0" collapsed="false">
      <c r="B31" s="0" t="s">
        <v>78</v>
      </c>
      <c r="C31" s="0" t="s">
        <v>79</v>
      </c>
      <c r="D31" s="0" t="s">
        <v>47</v>
      </c>
      <c r="E31" s="89" t="n">
        <f aca="false">E7*0.8</f>
        <v>465.98</v>
      </c>
    </row>
    <row r="32" customFormat="false" ht="15" hidden="false" customHeight="false" outlineLevel="0" collapsed="false">
      <c r="E32" s="18"/>
    </row>
    <row r="33" customFormat="false" ht="15" hidden="false" customHeight="false" outlineLevel="0" collapsed="false">
      <c r="E33" s="18"/>
    </row>
    <row r="34" customFormat="false" ht="15" hidden="false" customHeight="false" outlineLevel="0" collapsed="false">
      <c r="B34" s="109" t="s">
        <v>70</v>
      </c>
      <c r="C34" s="110"/>
      <c r="D34" s="110" t="s">
        <v>47</v>
      </c>
      <c r="E34" s="111" t="n">
        <v>1.98</v>
      </c>
    </row>
    <row r="35" customFormat="false" ht="15" hidden="false" customHeight="false" outlineLevel="0" collapsed="false">
      <c r="B35" s="91" t="s">
        <v>67</v>
      </c>
      <c r="C35" s="0" t="s">
        <v>80</v>
      </c>
      <c r="D35" s="0" t="s">
        <v>69</v>
      </c>
      <c r="E35" s="98" t="n">
        <f aca="false">E31/E34</f>
        <v>235.34</v>
      </c>
    </row>
    <row r="36" customFormat="false" ht="15" hidden="false" customHeight="false" outlineLevel="0" collapsed="false">
      <c r="B36" s="91" t="s">
        <v>81</v>
      </c>
      <c r="D36" s="0" t="s">
        <v>69</v>
      </c>
      <c r="E36" s="98" t="n">
        <v>235</v>
      </c>
    </row>
    <row r="37" customFormat="false" ht="15" hidden="false" customHeight="false" outlineLevel="0" collapsed="false">
      <c r="B37" s="91" t="s">
        <v>65</v>
      </c>
      <c r="D37" s="0" t="s">
        <v>66</v>
      </c>
      <c r="E37" s="93" t="n">
        <v>335</v>
      </c>
    </row>
    <row r="38" customFormat="false" ht="15" hidden="false" customHeight="false" outlineLevel="0" collapsed="false">
      <c r="B38" s="91" t="s">
        <v>82</v>
      </c>
      <c r="C38" s="0" t="s">
        <v>83</v>
      </c>
      <c r="D38" s="0" t="s">
        <v>63</v>
      </c>
      <c r="E38" s="98" t="n">
        <f aca="false">(E36*E37)/1000</f>
        <v>78.73</v>
      </c>
    </row>
    <row r="39" customFormat="false" ht="15" hidden="false" customHeight="false" outlineLevel="0" collapsed="false">
      <c r="B39" s="91"/>
      <c r="E39" s="93"/>
    </row>
    <row r="40" customFormat="false" ht="15" hidden="false" customHeight="false" outlineLevel="0" collapsed="false">
      <c r="B40" s="91" t="s">
        <v>84</v>
      </c>
      <c r="C40" s="0" t="s">
        <v>85</v>
      </c>
      <c r="D40" s="0" t="s">
        <v>40</v>
      </c>
      <c r="E40" s="98" t="n">
        <f aca="false">E38*E12</f>
        <v>113365.69</v>
      </c>
    </row>
    <row r="41" customFormat="false" ht="15" hidden="false" customHeight="false" outlineLevel="0" collapsed="false">
      <c r="B41" s="91" t="s">
        <v>86</v>
      </c>
      <c r="C41" s="0" t="s">
        <v>51</v>
      </c>
      <c r="D41" s="0" t="s">
        <v>40</v>
      </c>
      <c r="E41" s="93" t="n">
        <f aca="false">K20*12</f>
        <v>24406</v>
      </c>
    </row>
    <row r="42" customFormat="false" ht="15" hidden="false" customHeight="false" outlineLevel="0" collapsed="false">
      <c r="B42" s="91"/>
      <c r="E42" s="93"/>
    </row>
    <row r="43" customFormat="false" ht="15" hidden="false" customHeight="false" outlineLevel="0" collapsed="false">
      <c r="B43" s="91" t="s">
        <v>87</v>
      </c>
      <c r="C43" s="0" t="s">
        <v>88</v>
      </c>
      <c r="D43" s="0" t="s">
        <v>89</v>
      </c>
      <c r="E43" s="100" t="n">
        <f aca="false">E41/E40</f>
        <v>0.22</v>
      </c>
    </row>
    <row r="44" customFormat="false" ht="15" hidden="false" customHeight="false" outlineLevel="0" collapsed="false">
      <c r="B44" s="91"/>
      <c r="E44" s="93"/>
    </row>
    <row r="45" customFormat="false" ht="15" hidden="false" customHeight="false" outlineLevel="0" collapsed="false">
      <c r="B45" s="91" t="s">
        <v>73</v>
      </c>
      <c r="D45" s="0" t="s">
        <v>74</v>
      </c>
      <c r="E45" s="93" t="n">
        <v>839</v>
      </c>
    </row>
    <row r="46" customFormat="false" ht="15" hidden="false" customHeight="false" outlineLevel="0" collapsed="false">
      <c r="B46" s="94" t="s">
        <v>75</v>
      </c>
      <c r="C46" s="95"/>
      <c r="D46" s="95" t="s">
        <v>74</v>
      </c>
      <c r="E46" s="101" t="n">
        <f aca="false">E45*E36</f>
        <v>197165</v>
      </c>
    </row>
    <row r="48" customFormat="false" ht="15" hidden="false" customHeight="false" outlineLevel="0" collapsed="false">
      <c r="B48" s="102" t="s">
        <v>90</v>
      </c>
      <c r="C48" s="102"/>
      <c r="D48" s="102"/>
      <c r="E48" s="102"/>
    </row>
    <row r="50" customFormat="false" ht="15" hidden="false" customHeight="false" outlineLevel="0" collapsed="false">
      <c r="B50" s="0" t="s">
        <v>91</v>
      </c>
      <c r="D50" s="0" t="s">
        <v>63</v>
      </c>
      <c r="E50" s="103" t="n">
        <v>30</v>
      </c>
    </row>
    <row r="51" customFormat="false" ht="15" hidden="false" customHeight="false" outlineLevel="0" collapsed="false">
      <c r="D51" s="0" t="s">
        <v>92</v>
      </c>
      <c r="E51" s="93" t="n">
        <v>21339</v>
      </c>
    </row>
    <row r="53" customFormat="false" ht="15" hidden="false" customHeight="false" outlineLevel="0" collapsed="false">
      <c r="B53" s="102" t="s">
        <v>93</v>
      </c>
      <c r="C53" s="102"/>
      <c r="D53" s="102"/>
      <c r="E53" s="102"/>
    </row>
    <row r="55" customFormat="false" ht="15" hidden="false" customHeight="false" outlineLevel="0" collapsed="false">
      <c r="B55" s="0" t="s">
        <v>91</v>
      </c>
      <c r="D55" s="0" t="s">
        <v>63</v>
      </c>
      <c r="E55" s="103" t="n">
        <v>22.5</v>
      </c>
    </row>
    <row r="56" customFormat="false" ht="15" hidden="false" customHeight="false" outlineLevel="0" collapsed="false">
      <c r="D56" s="0" t="s">
        <v>92</v>
      </c>
      <c r="E56" s="93" t="n">
        <v>20989</v>
      </c>
    </row>
    <row r="58" customFormat="false" ht="15" hidden="false" customHeight="false" outlineLevel="0" collapsed="false">
      <c r="B58" s="102" t="s">
        <v>94</v>
      </c>
      <c r="C58" s="102"/>
      <c r="D58" s="102"/>
      <c r="E58" s="102"/>
    </row>
    <row r="60" customFormat="false" ht="15" hidden="false" customHeight="false" outlineLevel="0" collapsed="false">
      <c r="B60" s="0" t="s">
        <v>91</v>
      </c>
      <c r="D60" s="0" t="s">
        <v>63</v>
      </c>
      <c r="E60" s="103" t="n">
        <v>45</v>
      </c>
    </row>
    <row r="61" customFormat="false" ht="15" hidden="false" customHeight="false" outlineLevel="0" collapsed="false">
      <c r="D61" s="0" t="s">
        <v>92</v>
      </c>
      <c r="E61" s="93" t="n">
        <v>29229</v>
      </c>
    </row>
    <row r="63" customFormat="false" ht="15" hidden="false" customHeight="false" outlineLevel="0" collapsed="false">
      <c r="B63" s="88" t="s">
        <v>95</v>
      </c>
      <c r="C63" s="88"/>
      <c r="D63" s="88"/>
      <c r="E63" s="88"/>
    </row>
    <row r="64" customFormat="false" ht="15" hidden="false" customHeight="false" outlineLevel="0" collapsed="false">
      <c r="C64" s="2" t="s">
        <v>96</v>
      </c>
    </row>
    <row r="65" customFormat="false" ht="15" hidden="false" customHeight="false" outlineLevel="0" collapsed="false">
      <c r="B65" s="0" t="s">
        <v>97</v>
      </c>
      <c r="C65" s="2" t="n">
        <v>3</v>
      </c>
      <c r="D65" s="0" t="s">
        <v>63</v>
      </c>
      <c r="E65" s="89" t="n">
        <f aca="false">C65*E55</f>
        <v>67.5</v>
      </c>
    </row>
    <row r="66" customFormat="false" ht="15" hidden="false" customHeight="false" outlineLevel="0" collapsed="false">
      <c r="E66" s="18"/>
    </row>
    <row r="68" customFormat="false" ht="15" hidden="false" customHeight="false" outlineLevel="0" collapsed="false">
      <c r="B68" s="109" t="s">
        <v>65</v>
      </c>
      <c r="C68" s="110"/>
      <c r="D68" s="110" t="s">
        <v>66</v>
      </c>
      <c r="E68" s="111" t="n">
        <v>335</v>
      </c>
    </row>
    <row r="69" customFormat="false" ht="15" hidden="false" customHeight="false" outlineLevel="0" collapsed="false">
      <c r="B69" s="91" t="s">
        <v>67</v>
      </c>
      <c r="C69" s="0" t="s">
        <v>103</v>
      </c>
      <c r="D69" s="0" t="s">
        <v>69</v>
      </c>
      <c r="E69" s="98" t="n">
        <f aca="false">(E65/E68)*1000</f>
        <v>201.49</v>
      </c>
    </row>
    <row r="70" customFormat="false" ht="15" hidden="false" customHeight="false" outlineLevel="0" collapsed="false">
      <c r="B70" s="91" t="s">
        <v>81</v>
      </c>
      <c r="D70" s="0" t="s">
        <v>69</v>
      </c>
      <c r="E70" s="98" t="n">
        <v>201</v>
      </c>
    </row>
    <row r="71" customFormat="false" ht="15" hidden="false" customHeight="false" outlineLevel="0" collapsed="false">
      <c r="B71" s="91" t="s">
        <v>70</v>
      </c>
      <c r="D71" s="0" t="s">
        <v>47</v>
      </c>
      <c r="E71" s="93" t="n">
        <v>1.98</v>
      </c>
    </row>
    <row r="72" customFormat="false" ht="15" hidden="false" customHeight="false" outlineLevel="0" collapsed="false">
      <c r="B72" s="91" t="s">
        <v>99</v>
      </c>
      <c r="C72" s="0" t="s">
        <v>72</v>
      </c>
      <c r="D72" s="0" t="s">
        <v>47</v>
      </c>
      <c r="E72" s="98" t="n">
        <f aca="false">E71*E70</f>
        <v>397.98</v>
      </c>
    </row>
    <row r="73" customFormat="false" ht="15" hidden="false" customHeight="false" outlineLevel="0" collapsed="false">
      <c r="B73" s="91" t="s">
        <v>99</v>
      </c>
      <c r="D73" s="41" t="s">
        <v>89</v>
      </c>
      <c r="E73" s="113" t="n">
        <f aca="false">E72/E7</f>
        <v>0.68</v>
      </c>
    </row>
    <row r="74" customFormat="false" ht="15" hidden="false" customHeight="false" outlineLevel="0" collapsed="false">
      <c r="B74" s="91"/>
      <c r="D74" s="41"/>
      <c r="E74" s="100"/>
    </row>
    <row r="75" customFormat="false" ht="15" hidden="false" customHeight="false" outlineLevel="0" collapsed="false">
      <c r="B75" s="91" t="s">
        <v>82</v>
      </c>
      <c r="C75" s="0" t="s">
        <v>83</v>
      </c>
      <c r="D75" s="0" t="s">
        <v>63</v>
      </c>
      <c r="E75" s="93" t="n">
        <f aca="false">E68*E70/1000</f>
        <v>67.34</v>
      </c>
    </row>
    <row r="76" customFormat="false" ht="15" hidden="false" customHeight="false" outlineLevel="0" collapsed="false">
      <c r="B76" s="91" t="s">
        <v>84</v>
      </c>
      <c r="C76" s="0" t="s">
        <v>85</v>
      </c>
      <c r="D76" s="0" t="s">
        <v>40</v>
      </c>
      <c r="E76" s="98" t="n">
        <f aca="false">E70*E68*E12/1000</f>
        <v>96957.69</v>
      </c>
    </row>
    <row r="77" customFormat="false" ht="15" hidden="false" customHeight="false" outlineLevel="0" collapsed="false">
      <c r="B77" s="91" t="s">
        <v>86</v>
      </c>
      <c r="C77" s="0" t="s">
        <v>51</v>
      </c>
      <c r="D77" s="0" t="s">
        <v>40</v>
      </c>
      <c r="E77" s="93" t="n">
        <f aca="false">K20*12</f>
        <v>24406</v>
      </c>
    </row>
    <row r="78" customFormat="false" ht="15" hidden="false" customHeight="false" outlineLevel="0" collapsed="false">
      <c r="B78" s="91"/>
      <c r="E78" s="93"/>
    </row>
    <row r="79" customFormat="false" ht="15" hidden="false" customHeight="false" outlineLevel="0" collapsed="false">
      <c r="B79" s="91" t="s">
        <v>87</v>
      </c>
      <c r="C79" s="0" t="s">
        <v>88</v>
      </c>
      <c r="D79" s="0" t="s">
        <v>89</v>
      </c>
      <c r="E79" s="104" t="n">
        <f aca="false">E77/E76</f>
        <v>0.2517</v>
      </c>
      <c r="F79" s="112" t="n">
        <f aca="false">1-E79</f>
        <v>0.7483</v>
      </c>
    </row>
    <row r="80" customFormat="false" ht="15" hidden="false" customHeight="false" outlineLevel="0" collapsed="false">
      <c r="B80" s="91"/>
      <c r="E80" s="93"/>
    </row>
    <row r="81" customFormat="false" ht="15" hidden="false" customHeight="false" outlineLevel="0" collapsed="false">
      <c r="B81" s="91" t="s">
        <v>73</v>
      </c>
      <c r="D81" s="0" t="s">
        <v>74</v>
      </c>
      <c r="E81" s="93" t="n">
        <v>839</v>
      </c>
    </row>
    <row r="82" customFormat="false" ht="15" hidden="false" customHeight="false" outlineLevel="0" collapsed="false">
      <c r="B82" s="91" t="s">
        <v>75</v>
      </c>
      <c r="D82" s="0" t="s">
        <v>74</v>
      </c>
      <c r="E82" s="98" t="n">
        <f aca="false">E70*E81</f>
        <v>168639</v>
      </c>
    </row>
    <row r="83" customFormat="false" ht="15" hidden="false" customHeight="false" outlineLevel="0" collapsed="false">
      <c r="B83" s="91" t="s">
        <v>101</v>
      </c>
      <c r="D83" s="0" t="s">
        <v>74</v>
      </c>
      <c r="E83" s="98" t="n">
        <f aca="false">C65*E56</f>
        <v>62967</v>
      </c>
    </row>
    <row r="84" customFormat="false" ht="15" hidden="false" customHeight="false" outlineLevel="0" collapsed="false">
      <c r="B84" s="94" t="s">
        <v>102</v>
      </c>
      <c r="C84" s="95"/>
      <c r="D84" s="95" t="s">
        <v>74</v>
      </c>
      <c r="E84" s="101" t="n">
        <f aca="false">SUM(E82:E83)</f>
        <v>231606</v>
      </c>
    </row>
  </sheetData>
  <mergeCells count="7">
    <mergeCell ref="B5:E5"/>
    <mergeCell ref="B15:E15"/>
    <mergeCell ref="B29:E29"/>
    <mergeCell ref="B48:E48"/>
    <mergeCell ref="B53:E53"/>
    <mergeCell ref="B58:E58"/>
    <mergeCell ref="B63:E63"/>
  </mergeCells>
  <printOptions headings="false" gridLines="false" gridLinesSet="true" horizontalCentered="false" verticalCentered="false"/>
  <pageMargins left="0.511805555555555" right="0.511805555555555" top="1.18125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K8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34"/>
    <col collapsed="false" customWidth="true" hidden="false" outlineLevel="0" max="3" min="3" style="0" width="48.86"/>
    <col collapsed="false" customWidth="true" hidden="false" outlineLevel="0" max="4" min="4" style="0" width="12.42"/>
    <col collapsed="false" customWidth="true" hidden="false" outlineLevel="0" max="5" min="5" style="0" width="16.42"/>
    <col collapsed="false" customWidth="true" hidden="false" outlineLevel="0" max="10" min="6" style="0" width="9"/>
    <col collapsed="false" customWidth="true" hidden="false" outlineLevel="0" max="11" min="11" style="0" width="18.14"/>
    <col collapsed="false" customWidth="true" hidden="false" outlineLevel="0" max="64" min="12" style="0" width="9"/>
  </cols>
  <sheetData>
    <row r="5" customFormat="false" ht="15" hidden="false" customHeight="false" outlineLevel="0" collapsed="false">
      <c r="B5" s="83" t="s">
        <v>128</v>
      </c>
      <c r="C5" s="83"/>
      <c r="D5" s="83"/>
      <c r="E5" s="83"/>
    </row>
    <row r="6" customFormat="false" ht="15" hidden="false" customHeight="false" outlineLevel="0" collapsed="false">
      <c r="B6" s="0" t="s">
        <v>45</v>
      </c>
      <c r="C6" s="2" t="s">
        <v>24</v>
      </c>
      <c r="K6" s="84" t="str">
        <f aca="false">B5</f>
        <v>IPORÁ</v>
      </c>
    </row>
    <row r="7" customFormat="false" ht="15" hidden="false" customHeight="false" outlineLevel="0" collapsed="false">
      <c r="B7" s="0" t="s">
        <v>46</v>
      </c>
      <c r="D7" s="0" t="s">
        <v>47</v>
      </c>
      <c r="E7" s="18" t="n">
        <v>338.83</v>
      </c>
      <c r="F7" s="114"/>
      <c r="J7" s="78" t="n">
        <v>42736</v>
      </c>
      <c r="K7" s="106" t="n">
        <v>1859.5</v>
      </c>
    </row>
    <row r="8" customFormat="false" ht="15" hidden="false" customHeight="false" outlineLevel="0" collapsed="false">
      <c r="B8" s="0" t="s">
        <v>48</v>
      </c>
      <c r="E8" s="108" t="s">
        <v>129</v>
      </c>
      <c r="J8" s="78" t="n">
        <v>42767</v>
      </c>
      <c r="K8" s="106" t="n">
        <v>1718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K20*12</f>
        <v>25965.5</v>
      </c>
      <c r="J9" s="78" t="n">
        <v>42795</v>
      </c>
      <c r="K9" s="106" t="n">
        <v>2200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5.25</v>
      </c>
      <c r="J10" s="78" t="n">
        <v>42826</v>
      </c>
      <c r="K10" s="106" t="n">
        <v>2866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0.75</v>
      </c>
      <c r="J11" s="78" t="n">
        <v>42856</v>
      </c>
      <c r="K11" s="106" t="n">
        <v>2466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1437.19</v>
      </c>
      <c r="J12" s="78" t="n">
        <v>42887</v>
      </c>
      <c r="K12" s="106" t="n">
        <v>2325</v>
      </c>
    </row>
    <row r="13" customFormat="false" ht="15" hidden="false" customHeight="false" outlineLevel="0" collapsed="false">
      <c r="J13" s="78" t="n">
        <v>42917</v>
      </c>
      <c r="K13" s="106" t="n">
        <v>1452</v>
      </c>
    </row>
    <row r="14" customFormat="false" ht="15" hidden="false" customHeight="false" outlineLevel="0" collapsed="false">
      <c r="J14" s="78" t="n">
        <v>42948</v>
      </c>
      <c r="K14" s="106" t="n">
        <v>1474</v>
      </c>
    </row>
    <row r="15" customFormat="false" ht="15" hidden="false" customHeight="false" outlineLevel="0" collapsed="false">
      <c r="B15" s="88" t="s">
        <v>60</v>
      </c>
      <c r="C15" s="88"/>
      <c r="D15" s="88"/>
      <c r="E15" s="88"/>
      <c r="J15" s="78" t="n">
        <v>42979</v>
      </c>
      <c r="K15" s="106" t="n">
        <v>2344</v>
      </c>
    </row>
    <row r="16" customFormat="false" ht="15" hidden="false" customHeight="false" outlineLevel="0" collapsed="false">
      <c r="J16" s="78" t="n">
        <v>43009</v>
      </c>
      <c r="K16" s="106" t="n">
        <v>2289</v>
      </c>
    </row>
    <row r="17" customFormat="false" ht="15" hidden="false" customHeight="false" outlineLevel="0" collapsed="false">
      <c r="B17" s="0" t="s">
        <v>61</v>
      </c>
      <c r="C17" s="0" t="s">
        <v>62</v>
      </c>
      <c r="D17" s="0" t="s">
        <v>63</v>
      </c>
      <c r="E17" s="89" t="n">
        <f aca="false">E9/E12</f>
        <v>18.07</v>
      </c>
      <c r="J17" s="78" t="n">
        <v>43040</v>
      </c>
      <c r="K17" s="106" t="n">
        <v>2826</v>
      </c>
    </row>
    <row r="18" customFormat="false" ht="15" hidden="false" customHeight="false" outlineLevel="0" collapsed="false">
      <c r="J18" s="78" t="n">
        <v>43070</v>
      </c>
      <c r="K18" s="106" t="n">
        <v>2146</v>
      </c>
    </row>
    <row r="19" customFormat="false" ht="15" hidden="false" customHeight="false" outlineLevel="0" collapsed="false">
      <c r="E19" s="18"/>
    </row>
    <row r="20" customFormat="false" ht="15" hidden="false" customHeight="false" outlineLevel="0" collapsed="false">
      <c r="B20" s="109" t="s">
        <v>65</v>
      </c>
      <c r="C20" s="110"/>
      <c r="D20" s="110" t="s">
        <v>66</v>
      </c>
      <c r="E20" s="111" t="n">
        <v>335</v>
      </c>
      <c r="J20" s="0" t="s">
        <v>39</v>
      </c>
      <c r="K20" s="0" t="n">
        <f aca="false">(SUM(K7:K18))/12</f>
        <v>2163.79166666667</v>
      </c>
    </row>
    <row r="21" customFormat="false" ht="15" hidden="false" customHeight="false" outlineLevel="0" collapsed="false">
      <c r="B21" s="91" t="s">
        <v>67</v>
      </c>
      <c r="C21" s="0" t="s">
        <v>68</v>
      </c>
      <c r="D21" s="0" t="s">
        <v>69</v>
      </c>
      <c r="E21" s="93" t="n">
        <f aca="false">(E17*1000)/E20</f>
        <v>53.94</v>
      </c>
    </row>
    <row r="22" customFormat="false" ht="15" hidden="false" customHeight="false" outlineLevel="0" collapsed="false">
      <c r="B22" s="91" t="s">
        <v>70</v>
      </c>
      <c r="D22" s="0" t="s">
        <v>47</v>
      </c>
      <c r="E22" s="93" t="n">
        <v>1.98</v>
      </c>
    </row>
    <row r="23" customFormat="false" ht="15" hidden="false" customHeight="false" outlineLevel="0" collapsed="false">
      <c r="B23" s="91" t="s">
        <v>71</v>
      </c>
      <c r="C23" s="0" t="s">
        <v>72</v>
      </c>
      <c r="D23" s="0" t="s">
        <v>47</v>
      </c>
      <c r="E23" s="93" t="n">
        <f aca="false">E21*E22</f>
        <v>106.8</v>
      </c>
    </row>
    <row r="24" customFormat="false" ht="15" hidden="false" customHeight="false" outlineLevel="0" collapsed="false">
      <c r="B24" s="91" t="s">
        <v>73</v>
      </c>
      <c r="D24" s="0" t="s">
        <v>74</v>
      </c>
      <c r="E24" s="93" t="n">
        <v>839</v>
      </c>
    </row>
    <row r="25" customFormat="false" ht="15" hidden="false" customHeight="false" outlineLevel="0" collapsed="false">
      <c r="B25" s="91"/>
      <c r="E25" s="97"/>
    </row>
    <row r="26" customFormat="false" ht="15" hidden="false" customHeight="false" outlineLevel="0" collapsed="false">
      <c r="B26" s="94" t="s">
        <v>75</v>
      </c>
      <c r="C26" s="95"/>
      <c r="D26" s="95" t="s">
        <v>74</v>
      </c>
      <c r="E26" s="96" t="n">
        <f aca="false">E24*E21</f>
        <v>45255.66</v>
      </c>
    </row>
    <row r="28" customFormat="false" ht="15" hidden="false" customHeight="false" outlineLevel="0" collapsed="false">
      <c r="B28" s="88" t="s">
        <v>77</v>
      </c>
      <c r="C28" s="88"/>
      <c r="D28" s="88"/>
      <c r="E28" s="88"/>
    </row>
    <row r="30" customFormat="false" ht="15" hidden="false" customHeight="false" outlineLevel="0" collapsed="false">
      <c r="B30" s="0" t="s">
        <v>78</v>
      </c>
      <c r="C30" s="0" t="s">
        <v>79</v>
      </c>
      <c r="D30" s="0" t="s">
        <v>47</v>
      </c>
      <c r="E30" s="89" t="n">
        <f aca="false">E7*0.8</f>
        <v>271.06</v>
      </c>
      <c r="K30" s="115"/>
    </row>
    <row r="31" customFormat="false" ht="15" hidden="false" customHeight="false" outlineLevel="0" collapsed="false">
      <c r="E31" s="18"/>
      <c r="K31" s="115"/>
    </row>
    <row r="32" customFormat="false" ht="15" hidden="false" customHeight="false" outlineLevel="0" collapsed="false">
      <c r="E32" s="18"/>
    </row>
    <row r="33" customFormat="false" ht="15" hidden="false" customHeight="false" outlineLevel="0" collapsed="false">
      <c r="B33" s="109" t="s">
        <v>70</v>
      </c>
      <c r="C33" s="110"/>
      <c r="D33" s="110" t="s">
        <v>47</v>
      </c>
      <c r="E33" s="111" t="n">
        <v>1.98</v>
      </c>
    </row>
    <row r="34" customFormat="false" ht="15" hidden="false" customHeight="false" outlineLevel="0" collapsed="false">
      <c r="B34" s="91" t="s">
        <v>67</v>
      </c>
      <c r="C34" s="0" t="s">
        <v>80</v>
      </c>
      <c r="D34" s="0" t="s">
        <v>69</v>
      </c>
      <c r="E34" s="98" t="n">
        <f aca="false">E30/E33</f>
        <v>136.9</v>
      </c>
    </row>
    <row r="35" customFormat="false" ht="15" hidden="false" customHeight="false" outlineLevel="0" collapsed="false">
      <c r="B35" s="91" t="s">
        <v>81</v>
      </c>
      <c r="D35" s="0" t="s">
        <v>69</v>
      </c>
      <c r="E35" s="98" t="n">
        <v>136</v>
      </c>
    </row>
    <row r="36" customFormat="false" ht="15" hidden="false" customHeight="false" outlineLevel="0" collapsed="false">
      <c r="B36" s="91" t="s">
        <v>65</v>
      </c>
      <c r="D36" s="0" t="s">
        <v>66</v>
      </c>
      <c r="E36" s="93" t="n">
        <v>335</v>
      </c>
    </row>
    <row r="37" customFormat="false" ht="15" hidden="false" customHeight="false" outlineLevel="0" collapsed="false">
      <c r="B37" s="91" t="s">
        <v>82</v>
      </c>
      <c r="C37" s="0" t="s">
        <v>83</v>
      </c>
      <c r="D37" s="0" t="s">
        <v>63</v>
      </c>
      <c r="E37" s="98" t="n">
        <f aca="false">(E35*E36)/1000</f>
        <v>45.56</v>
      </c>
    </row>
    <row r="38" customFormat="false" ht="15" hidden="false" customHeight="false" outlineLevel="0" collapsed="false">
      <c r="B38" s="91"/>
      <c r="E38" s="93"/>
    </row>
    <row r="39" customFormat="false" ht="15" hidden="false" customHeight="false" outlineLevel="0" collapsed="false">
      <c r="B39" s="91" t="s">
        <v>84</v>
      </c>
      <c r="C39" s="0" t="s">
        <v>85</v>
      </c>
      <c r="D39" s="0" t="s">
        <v>40</v>
      </c>
      <c r="E39" s="98" t="n">
        <f aca="false">E37*E12</f>
        <v>65478.38</v>
      </c>
    </row>
    <row r="40" customFormat="false" ht="15" hidden="false" customHeight="false" outlineLevel="0" collapsed="false">
      <c r="B40" s="91" t="s">
        <v>86</v>
      </c>
      <c r="C40" s="0" t="s">
        <v>51</v>
      </c>
      <c r="D40" s="0" t="s">
        <v>40</v>
      </c>
      <c r="E40" s="93" t="n">
        <f aca="false">K20*12</f>
        <v>25965.5</v>
      </c>
    </row>
    <row r="41" customFormat="false" ht="15" hidden="false" customHeight="false" outlineLevel="0" collapsed="false">
      <c r="B41" s="91"/>
      <c r="E41" s="93"/>
    </row>
    <row r="42" customFormat="false" ht="15" hidden="false" customHeight="false" outlineLevel="0" collapsed="false">
      <c r="B42" s="91" t="s">
        <v>87</v>
      </c>
      <c r="C42" s="0" t="s">
        <v>88</v>
      </c>
      <c r="D42" s="0" t="s">
        <v>89</v>
      </c>
      <c r="E42" s="100" t="n">
        <f aca="false">E40/E39</f>
        <v>0.4</v>
      </c>
    </row>
    <row r="43" customFormat="false" ht="15" hidden="false" customHeight="false" outlineLevel="0" collapsed="false">
      <c r="B43" s="91"/>
      <c r="E43" s="93"/>
    </row>
    <row r="44" customFormat="false" ht="15" hidden="false" customHeight="false" outlineLevel="0" collapsed="false">
      <c r="B44" s="91" t="s">
        <v>73</v>
      </c>
      <c r="D44" s="0" t="s">
        <v>74</v>
      </c>
      <c r="E44" s="93" t="n">
        <v>839</v>
      </c>
    </row>
    <row r="45" customFormat="false" ht="15" hidden="false" customHeight="false" outlineLevel="0" collapsed="false">
      <c r="B45" s="94" t="s">
        <v>75</v>
      </c>
      <c r="C45" s="95"/>
      <c r="D45" s="95" t="s">
        <v>74</v>
      </c>
      <c r="E45" s="101" t="n">
        <f aca="false">E44*E35</f>
        <v>114104</v>
      </c>
    </row>
    <row r="47" customFormat="false" ht="15" hidden="false" customHeight="false" outlineLevel="0" collapsed="false">
      <c r="B47" s="102" t="s">
        <v>90</v>
      </c>
      <c r="C47" s="102"/>
      <c r="D47" s="102"/>
      <c r="E47" s="102"/>
    </row>
    <row r="49" customFormat="false" ht="15" hidden="false" customHeight="false" outlineLevel="0" collapsed="false">
      <c r="B49" s="0" t="s">
        <v>91</v>
      </c>
      <c r="D49" s="0" t="s">
        <v>63</v>
      </c>
      <c r="E49" s="103" t="n">
        <v>30</v>
      </c>
    </row>
    <row r="50" customFormat="false" ht="15" hidden="false" customHeight="false" outlineLevel="0" collapsed="false">
      <c r="D50" s="0" t="s">
        <v>92</v>
      </c>
      <c r="E50" s="93" t="n">
        <v>21339</v>
      </c>
    </row>
    <row r="52" customFormat="false" ht="15" hidden="false" customHeight="false" outlineLevel="0" collapsed="false">
      <c r="B52" s="102" t="s">
        <v>93</v>
      </c>
      <c r="C52" s="102"/>
      <c r="D52" s="102"/>
      <c r="E52" s="102"/>
    </row>
    <row r="54" customFormat="false" ht="15" hidden="false" customHeight="false" outlineLevel="0" collapsed="false">
      <c r="B54" s="0" t="s">
        <v>91</v>
      </c>
      <c r="D54" s="0" t="s">
        <v>63</v>
      </c>
      <c r="E54" s="103" t="n">
        <v>22.5</v>
      </c>
    </row>
    <row r="55" customFormat="false" ht="15" hidden="false" customHeight="false" outlineLevel="0" collapsed="false">
      <c r="D55" s="0" t="s">
        <v>92</v>
      </c>
      <c r="E55" s="93" t="n">
        <v>20989</v>
      </c>
    </row>
    <row r="57" customFormat="false" ht="15" hidden="false" customHeight="false" outlineLevel="0" collapsed="false">
      <c r="B57" s="102" t="s">
        <v>94</v>
      </c>
      <c r="C57" s="102"/>
      <c r="D57" s="102"/>
      <c r="E57" s="102"/>
    </row>
    <row r="59" customFormat="false" ht="15" hidden="false" customHeight="false" outlineLevel="0" collapsed="false">
      <c r="B59" s="0" t="s">
        <v>91</v>
      </c>
      <c r="D59" s="0" t="s">
        <v>63</v>
      </c>
      <c r="E59" s="103" t="n">
        <v>45</v>
      </c>
    </row>
    <row r="60" customFormat="false" ht="15" hidden="false" customHeight="false" outlineLevel="0" collapsed="false">
      <c r="D60" s="0" t="s">
        <v>92</v>
      </c>
      <c r="E60" s="93" t="n">
        <v>29229</v>
      </c>
    </row>
    <row r="63" customFormat="false" ht="15" hidden="false" customHeight="false" outlineLevel="0" collapsed="false">
      <c r="B63" s="88" t="s">
        <v>95</v>
      </c>
      <c r="C63" s="88"/>
      <c r="D63" s="88"/>
      <c r="E63" s="88"/>
    </row>
    <row r="64" customFormat="false" ht="15" hidden="false" customHeight="false" outlineLevel="0" collapsed="false">
      <c r="C64" s="2" t="s">
        <v>96</v>
      </c>
    </row>
    <row r="65" customFormat="false" ht="15" hidden="false" customHeight="false" outlineLevel="0" collapsed="false">
      <c r="B65" s="0" t="s">
        <v>97</v>
      </c>
      <c r="C65" s="2" t="n">
        <v>2</v>
      </c>
      <c r="D65" s="0" t="s">
        <v>63</v>
      </c>
      <c r="E65" s="89" t="n">
        <f aca="false">C65*E54</f>
        <v>45</v>
      </c>
    </row>
    <row r="66" customFormat="false" ht="15" hidden="false" customHeight="false" outlineLevel="0" collapsed="false">
      <c r="E66" s="18"/>
    </row>
    <row r="68" customFormat="false" ht="15" hidden="false" customHeight="false" outlineLevel="0" collapsed="false">
      <c r="B68" s="109" t="s">
        <v>65</v>
      </c>
      <c r="C68" s="110"/>
      <c r="D68" s="110" t="s">
        <v>66</v>
      </c>
      <c r="E68" s="111" t="n">
        <v>335</v>
      </c>
    </row>
    <row r="69" customFormat="false" ht="15" hidden="false" customHeight="false" outlineLevel="0" collapsed="false">
      <c r="B69" s="91" t="s">
        <v>67</v>
      </c>
      <c r="C69" s="0" t="s">
        <v>103</v>
      </c>
      <c r="D69" s="0" t="s">
        <v>69</v>
      </c>
      <c r="E69" s="98" t="n">
        <f aca="false">(E65/E68)*1000</f>
        <v>134.33</v>
      </c>
    </row>
    <row r="70" customFormat="false" ht="15" hidden="false" customHeight="false" outlineLevel="0" collapsed="false">
      <c r="B70" s="91" t="s">
        <v>81</v>
      </c>
      <c r="D70" s="0" t="s">
        <v>69</v>
      </c>
      <c r="E70" s="98" t="n">
        <v>134</v>
      </c>
    </row>
    <row r="71" customFormat="false" ht="15" hidden="false" customHeight="false" outlineLevel="0" collapsed="false">
      <c r="B71" s="91" t="s">
        <v>70</v>
      </c>
      <c r="D71" s="0" t="s">
        <v>47</v>
      </c>
      <c r="E71" s="93" t="n">
        <v>1.98</v>
      </c>
    </row>
    <row r="72" customFormat="false" ht="15" hidden="false" customHeight="false" outlineLevel="0" collapsed="false">
      <c r="B72" s="91" t="s">
        <v>99</v>
      </c>
      <c r="C72" s="0" t="s">
        <v>72</v>
      </c>
      <c r="D72" s="0" t="s">
        <v>47</v>
      </c>
      <c r="E72" s="98" t="n">
        <f aca="false">E71*E70</f>
        <v>265.32</v>
      </c>
    </row>
    <row r="73" customFormat="false" ht="15" hidden="false" customHeight="false" outlineLevel="0" collapsed="false">
      <c r="B73" s="91" t="s">
        <v>99</v>
      </c>
      <c r="D73" s="41" t="s">
        <v>89</v>
      </c>
      <c r="E73" s="113" t="n">
        <f aca="false">E72/E7</f>
        <v>0.78</v>
      </c>
    </row>
    <row r="74" customFormat="false" ht="15" hidden="false" customHeight="false" outlineLevel="0" collapsed="false">
      <c r="B74" s="91"/>
      <c r="D74" s="41"/>
      <c r="E74" s="100"/>
    </row>
    <row r="75" customFormat="false" ht="15" hidden="false" customHeight="false" outlineLevel="0" collapsed="false">
      <c r="B75" s="91" t="s">
        <v>82</v>
      </c>
      <c r="C75" s="0" t="s">
        <v>83</v>
      </c>
      <c r="D75" s="0" t="s">
        <v>63</v>
      </c>
      <c r="E75" s="93" t="n">
        <f aca="false">E68*E70/1000</f>
        <v>44.89</v>
      </c>
    </row>
    <row r="76" customFormat="false" ht="15" hidden="false" customHeight="false" outlineLevel="0" collapsed="false">
      <c r="B76" s="91" t="s">
        <v>84</v>
      </c>
      <c r="C76" s="0" t="s">
        <v>85</v>
      </c>
      <c r="D76" s="0" t="s">
        <v>40</v>
      </c>
      <c r="E76" s="98" t="n">
        <f aca="false">E68*E70*E12/1000</f>
        <v>64515.46</v>
      </c>
    </row>
    <row r="77" customFormat="false" ht="15" hidden="false" customHeight="false" outlineLevel="0" collapsed="false">
      <c r="B77" s="91" t="s">
        <v>86</v>
      </c>
      <c r="C77" s="0" t="s">
        <v>51</v>
      </c>
      <c r="D77" s="0" t="s">
        <v>40</v>
      </c>
      <c r="E77" s="93" t="n">
        <f aca="false">E9</f>
        <v>25965.5</v>
      </c>
    </row>
    <row r="78" customFormat="false" ht="15" hidden="false" customHeight="false" outlineLevel="0" collapsed="false">
      <c r="B78" s="91"/>
      <c r="E78" s="93"/>
    </row>
    <row r="79" customFormat="false" ht="15" hidden="false" customHeight="false" outlineLevel="0" collapsed="false">
      <c r="B79" s="91" t="s">
        <v>87</v>
      </c>
      <c r="C79" s="0" t="s">
        <v>88</v>
      </c>
      <c r="D79" s="0" t="s">
        <v>89</v>
      </c>
      <c r="E79" s="104" t="n">
        <f aca="false">E77/E76</f>
        <v>0.4025</v>
      </c>
      <c r="F79" s="112" t="n">
        <f aca="false">1-E79</f>
        <v>0.5975</v>
      </c>
    </row>
    <row r="80" customFormat="false" ht="15" hidden="false" customHeight="false" outlineLevel="0" collapsed="false">
      <c r="B80" s="91"/>
      <c r="E80" s="93"/>
    </row>
    <row r="81" customFormat="false" ht="15" hidden="false" customHeight="false" outlineLevel="0" collapsed="false">
      <c r="B81" s="91" t="s">
        <v>73</v>
      </c>
      <c r="D81" s="0" t="s">
        <v>74</v>
      </c>
      <c r="E81" s="93" t="n">
        <v>839</v>
      </c>
    </row>
    <row r="82" customFormat="false" ht="15" hidden="false" customHeight="false" outlineLevel="0" collapsed="false">
      <c r="B82" s="91" t="s">
        <v>75</v>
      </c>
      <c r="D82" s="0" t="s">
        <v>74</v>
      </c>
      <c r="E82" s="98" t="n">
        <f aca="false">E70*E81</f>
        <v>112426</v>
      </c>
    </row>
    <row r="83" customFormat="false" ht="15" hidden="false" customHeight="false" outlineLevel="0" collapsed="false">
      <c r="B83" s="91" t="s">
        <v>101</v>
      </c>
      <c r="D83" s="0" t="s">
        <v>74</v>
      </c>
      <c r="E83" s="98" t="n">
        <f aca="false">C65*E55</f>
        <v>41978</v>
      </c>
    </row>
    <row r="84" customFormat="false" ht="15" hidden="false" customHeight="false" outlineLevel="0" collapsed="false">
      <c r="B84" s="94" t="s">
        <v>102</v>
      </c>
      <c r="C84" s="95"/>
      <c r="D84" s="95" t="s">
        <v>74</v>
      </c>
      <c r="E84" s="101" t="n">
        <f aca="false">SUM(E82:E83)</f>
        <v>154404</v>
      </c>
    </row>
  </sheetData>
  <mergeCells count="7">
    <mergeCell ref="B5:E5"/>
    <mergeCell ref="B15:E15"/>
    <mergeCell ref="B28:E28"/>
    <mergeCell ref="B47:E47"/>
    <mergeCell ref="B52:E52"/>
    <mergeCell ref="B57:E57"/>
    <mergeCell ref="B63:E63"/>
  </mergeCells>
  <printOptions headings="false" gridLines="false" gridLinesSet="true" horizontalCentered="false" verticalCentered="false"/>
  <pageMargins left="0.511805555555555" right="0.511805555555555" top="1.18125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K1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34"/>
    <col collapsed="false" customWidth="true" hidden="false" outlineLevel="0" max="3" min="3" style="0" width="48.86"/>
    <col collapsed="false" customWidth="true" hidden="false" outlineLevel="0" max="4" min="4" style="0" width="12.42"/>
    <col collapsed="false" customWidth="true" hidden="false" outlineLevel="0" max="5" min="5" style="0" width="19"/>
    <col collapsed="false" customWidth="true" hidden="false" outlineLevel="0" max="10" min="6" style="0" width="9"/>
    <col collapsed="false" customWidth="true" hidden="false" outlineLevel="0" max="11" min="11" style="0" width="15.15"/>
    <col collapsed="false" customWidth="true" hidden="false" outlineLevel="0" max="64" min="12" style="0" width="9"/>
  </cols>
  <sheetData>
    <row r="5" customFormat="false" ht="15" hidden="false" customHeight="false" outlineLevel="0" collapsed="false">
      <c r="B5" s="83" t="s">
        <v>130</v>
      </c>
      <c r="C5" s="83"/>
      <c r="D5" s="83"/>
      <c r="E5" s="83"/>
    </row>
    <row r="6" customFormat="false" ht="15" hidden="false" customHeight="false" outlineLevel="0" collapsed="false">
      <c r="B6" s="0" t="s">
        <v>45</v>
      </c>
      <c r="C6" s="2" t="s">
        <v>35</v>
      </c>
      <c r="K6" s="84" t="str">
        <f aca="false">B5</f>
        <v>ITUMBIARA</v>
      </c>
    </row>
    <row r="7" customFormat="false" ht="15" hidden="false" customHeight="false" outlineLevel="0" collapsed="false">
      <c r="B7" s="0" t="s">
        <v>46</v>
      </c>
      <c r="D7" s="0" t="s">
        <v>47</v>
      </c>
      <c r="E7" s="18" t="n">
        <v>1642.77</v>
      </c>
      <c r="J7" s="78" t="n">
        <v>43466</v>
      </c>
      <c r="K7" s="106" t="n">
        <v>6127.38</v>
      </c>
    </row>
    <row r="8" customFormat="false" ht="15" hidden="false" customHeight="false" outlineLevel="0" collapsed="false">
      <c r="B8" s="0" t="s">
        <v>48</v>
      </c>
      <c r="E8" s="18" t="s">
        <v>131</v>
      </c>
      <c r="J8" s="78" t="n">
        <v>43497</v>
      </c>
      <c r="K8" s="106" t="n">
        <v>6963.25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K20*12</f>
        <v>75425.57</v>
      </c>
      <c r="J9" s="78" t="n">
        <v>43525</v>
      </c>
      <c r="K9" s="106" t="n">
        <v>6463.79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5.24</v>
      </c>
      <c r="J10" s="78" t="n">
        <v>43556</v>
      </c>
      <c r="K10" s="106" t="n">
        <v>6459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0.75</v>
      </c>
      <c r="J11" s="78" t="n">
        <v>43586</v>
      </c>
      <c r="K11" s="106" t="n">
        <v>6496.08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1434.45</v>
      </c>
      <c r="J12" s="78" t="n">
        <v>43617</v>
      </c>
      <c r="K12" s="106" t="n">
        <v>6173.18</v>
      </c>
    </row>
    <row r="13" customFormat="false" ht="15" hidden="false" customHeight="false" outlineLevel="0" collapsed="false">
      <c r="J13" s="78" t="n">
        <v>43647</v>
      </c>
      <c r="K13" s="106" t="n">
        <v>4810.35</v>
      </c>
    </row>
    <row r="14" customFormat="false" ht="15" hidden="false" customHeight="false" outlineLevel="0" collapsed="false">
      <c r="J14" s="78" t="n">
        <v>43678</v>
      </c>
      <c r="K14" s="106" t="n">
        <v>4392.69</v>
      </c>
    </row>
    <row r="15" customFormat="false" ht="15" hidden="false" customHeight="false" outlineLevel="0" collapsed="false">
      <c r="B15" s="88" t="s">
        <v>60</v>
      </c>
      <c r="C15" s="88"/>
      <c r="D15" s="88"/>
      <c r="E15" s="88"/>
      <c r="J15" s="78" t="n">
        <v>43709</v>
      </c>
      <c r="K15" s="106" t="n">
        <v>5160.9</v>
      </c>
    </row>
    <row r="16" customFormat="false" ht="15" hidden="false" customHeight="false" outlineLevel="0" collapsed="false">
      <c r="J16" s="78" t="n">
        <v>43739</v>
      </c>
      <c r="K16" s="106" t="n">
        <v>7821.52</v>
      </c>
    </row>
    <row r="17" customFormat="false" ht="15" hidden="false" customHeight="false" outlineLevel="0" collapsed="false">
      <c r="B17" s="0" t="s">
        <v>61</v>
      </c>
      <c r="C17" s="0" t="s">
        <v>62</v>
      </c>
      <c r="D17" s="0" t="s">
        <v>63</v>
      </c>
      <c r="E17" s="89" t="n">
        <f aca="false">E9/E12</f>
        <v>52.58</v>
      </c>
      <c r="J17" s="78" t="n">
        <v>43770</v>
      </c>
      <c r="K17" s="106" t="n">
        <v>7339.16</v>
      </c>
    </row>
    <row r="18" customFormat="false" ht="15" hidden="false" customHeight="false" outlineLevel="0" collapsed="false">
      <c r="J18" s="78" t="n">
        <v>43800</v>
      </c>
      <c r="K18" s="106" t="n">
        <v>7218.27</v>
      </c>
    </row>
    <row r="19" customFormat="false" ht="15" hidden="false" customHeight="false" outlineLevel="0" collapsed="false">
      <c r="B19" s="109" t="s">
        <v>65</v>
      </c>
      <c r="C19" s="110"/>
      <c r="D19" s="110" t="s">
        <v>66</v>
      </c>
      <c r="E19" s="111" t="n">
        <v>335</v>
      </c>
    </row>
    <row r="20" customFormat="false" ht="15" hidden="false" customHeight="false" outlineLevel="0" collapsed="false">
      <c r="B20" s="91" t="s">
        <v>67</v>
      </c>
      <c r="C20" s="0" t="s">
        <v>68</v>
      </c>
      <c r="D20" s="0" t="s">
        <v>69</v>
      </c>
      <c r="E20" s="93" t="n">
        <f aca="false">(E17*1000)/E19</f>
        <v>156.96</v>
      </c>
      <c r="J20" s="0" t="s">
        <v>39</v>
      </c>
      <c r="K20" s="0" t="n">
        <f aca="false">(SUM(K7:K18))/12</f>
        <v>6285.46416666667</v>
      </c>
    </row>
    <row r="21" customFormat="false" ht="15" hidden="false" customHeight="false" outlineLevel="0" collapsed="false">
      <c r="B21" s="91" t="s">
        <v>70</v>
      </c>
      <c r="D21" s="0" t="s">
        <v>47</v>
      </c>
      <c r="E21" s="93" t="n">
        <v>1.98</v>
      </c>
    </row>
    <row r="22" customFormat="false" ht="15" hidden="false" customHeight="false" outlineLevel="0" collapsed="false">
      <c r="B22" s="91" t="s">
        <v>71</v>
      </c>
      <c r="C22" s="0" t="s">
        <v>72</v>
      </c>
      <c r="D22" s="0" t="s">
        <v>47</v>
      </c>
      <c r="E22" s="93" t="n">
        <f aca="false">E20*E21</f>
        <v>310.78</v>
      </c>
    </row>
    <row r="23" customFormat="false" ht="15" hidden="false" customHeight="false" outlineLevel="0" collapsed="false">
      <c r="B23" s="91" t="s">
        <v>73</v>
      </c>
      <c r="D23" s="0" t="s">
        <v>74</v>
      </c>
      <c r="E23" s="93" t="n">
        <v>839</v>
      </c>
    </row>
    <row r="24" customFormat="false" ht="15" hidden="false" customHeight="false" outlineLevel="0" collapsed="false">
      <c r="B24" s="91"/>
      <c r="E24" s="97"/>
    </row>
    <row r="25" customFormat="false" ht="15" hidden="false" customHeight="false" outlineLevel="0" collapsed="false">
      <c r="B25" s="94" t="s">
        <v>75</v>
      </c>
      <c r="C25" s="95"/>
      <c r="D25" s="95" t="s">
        <v>74</v>
      </c>
      <c r="E25" s="96" t="n">
        <f aca="false">E23*E20</f>
        <v>131689.44</v>
      </c>
    </row>
    <row r="28" customFormat="false" ht="15" hidden="false" customHeight="false" outlineLevel="0" collapsed="false">
      <c r="B28" s="88" t="s">
        <v>77</v>
      </c>
      <c r="C28" s="88"/>
      <c r="D28" s="88"/>
      <c r="E28" s="88"/>
    </row>
    <row r="30" customFormat="false" ht="15" hidden="false" customHeight="false" outlineLevel="0" collapsed="false">
      <c r="B30" s="0" t="s">
        <v>78</v>
      </c>
      <c r="C30" s="0" t="s">
        <v>79</v>
      </c>
      <c r="D30" s="0" t="s">
        <v>47</v>
      </c>
      <c r="E30" s="89" t="n">
        <f aca="false">E7*0.8</f>
        <v>1314.22</v>
      </c>
    </row>
    <row r="31" customFormat="false" ht="15" hidden="false" customHeight="false" outlineLevel="0" collapsed="false">
      <c r="E31" s="18"/>
    </row>
    <row r="32" customFormat="false" ht="15" hidden="false" customHeight="false" outlineLevel="0" collapsed="false">
      <c r="E32" s="18"/>
    </row>
    <row r="33" customFormat="false" ht="15" hidden="false" customHeight="false" outlineLevel="0" collapsed="false">
      <c r="B33" s="109" t="s">
        <v>70</v>
      </c>
      <c r="C33" s="110"/>
      <c r="D33" s="110" t="s">
        <v>47</v>
      </c>
      <c r="E33" s="111" t="n">
        <v>1.98</v>
      </c>
    </row>
    <row r="34" customFormat="false" ht="15" hidden="false" customHeight="false" outlineLevel="0" collapsed="false">
      <c r="B34" s="91" t="s">
        <v>67</v>
      </c>
      <c r="C34" s="0" t="s">
        <v>80</v>
      </c>
      <c r="D34" s="0" t="s">
        <v>69</v>
      </c>
      <c r="E34" s="98" t="n">
        <f aca="false">E30/E33</f>
        <v>663.75</v>
      </c>
    </row>
    <row r="35" customFormat="false" ht="15" hidden="false" customHeight="false" outlineLevel="0" collapsed="false">
      <c r="B35" s="91" t="s">
        <v>81</v>
      </c>
      <c r="D35" s="0" t="s">
        <v>69</v>
      </c>
      <c r="E35" s="98" t="n">
        <v>663</v>
      </c>
    </row>
    <row r="36" customFormat="false" ht="15" hidden="false" customHeight="false" outlineLevel="0" collapsed="false">
      <c r="B36" s="91" t="s">
        <v>65</v>
      </c>
      <c r="D36" s="0" t="s">
        <v>66</v>
      </c>
      <c r="E36" s="93" t="n">
        <v>335</v>
      </c>
    </row>
    <row r="37" customFormat="false" ht="15" hidden="false" customHeight="false" outlineLevel="0" collapsed="false">
      <c r="B37" s="91" t="s">
        <v>82</v>
      </c>
      <c r="C37" s="0" t="s">
        <v>83</v>
      </c>
      <c r="D37" s="0" t="s">
        <v>63</v>
      </c>
      <c r="E37" s="98" t="n">
        <f aca="false">(E35*E36)/1000</f>
        <v>222.11</v>
      </c>
    </row>
    <row r="38" customFormat="false" ht="15" hidden="false" customHeight="false" outlineLevel="0" collapsed="false">
      <c r="B38" s="91"/>
      <c r="E38" s="93"/>
    </row>
    <row r="39" customFormat="false" ht="15" hidden="false" customHeight="false" outlineLevel="0" collapsed="false">
      <c r="B39" s="91" t="s">
        <v>84</v>
      </c>
      <c r="C39" s="0" t="s">
        <v>85</v>
      </c>
      <c r="D39" s="0" t="s">
        <v>40</v>
      </c>
      <c r="E39" s="98" t="n">
        <f aca="false">E37*E12</f>
        <v>318605.69</v>
      </c>
    </row>
    <row r="40" customFormat="false" ht="15" hidden="false" customHeight="false" outlineLevel="0" collapsed="false">
      <c r="B40" s="91" t="s">
        <v>86</v>
      </c>
      <c r="C40" s="0" t="s">
        <v>51</v>
      </c>
      <c r="D40" s="0" t="s">
        <v>40</v>
      </c>
      <c r="E40" s="93" t="n">
        <f aca="false">K20*12</f>
        <v>75425.57</v>
      </c>
    </row>
    <row r="41" customFormat="false" ht="15" hidden="false" customHeight="false" outlineLevel="0" collapsed="false">
      <c r="B41" s="91"/>
      <c r="E41" s="93"/>
    </row>
    <row r="42" customFormat="false" ht="15" hidden="false" customHeight="false" outlineLevel="0" collapsed="false">
      <c r="B42" s="91" t="s">
        <v>87</v>
      </c>
      <c r="C42" s="0" t="s">
        <v>88</v>
      </c>
      <c r="D42" s="0" t="s">
        <v>89</v>
      </c>
      <c r="E42" s="100" t="n">
        <f aca="false">E40/E39</f>
        <v>0.24</v>
      </c>
    </row>
    <row r="43" customFormat="false" ht="15" hidden="false" customHeight="false" outlineLevel="0" collapsed="false">
      <c r="B43" s="91"/>
      <c r="E43" s="93"/>
    </row>
    <row r="44" customFormat="false" ht="15" hidden="false" customHeight="false" outlineLevel="0" collapsed="false">
      <c r="B44" s="91" t="s">
        <v>73</v>
      </c>
      <c r="D44" s="0" t="s">
        <v>74</v>
      </c>
      <c r="E44" s="93" t="n">
        <v>839</v>
      </c>
    </row>
    <row r="45" customFormat="false" ht="15" hidden="false" customHeight="false" outlineLevel="0" collapsed="false">
      <c r="B45" s="94" t="s">
        <v>75</v>
      </c>
      <c r="C45" s="95"/>
      <c r="D45" s="95" t="s">
        <v>74</v>
      </c>
      <c r="E45" s="101" t="n">
        <f aca="false">E44*E35</f>
        <v>556257</v>
      </c>
    </row>
    <row r="47" customFormat="false" ht="15" hidden="false" customHeight="false" outlineLevel="0" collapsed="false">
      <c r="B47" s="102" t="s">
        <v>90</v>
      </c>
      <c r="C47" s="102"/>
      <c r="D47" s="102"/>
      <c r="E47" s="102"/>
    </row>
    <row r="49" customFormat="false" ht="15" hidden="false" customHeight="false" outlineLevel="0" collapsed="false">
      <c r="B49" s="0" t="s">
        <v>91</v>
      </c>
      <c r="D49" s="0" t="s">
        <v>63</v>
      </c>
      <c r="E49" s="103" t="n">
        <v>30</v>
      </c>
    </row>
    <row r="50" customFormat="false" ht="15" hidden="false" customHeight="false" outlineLevel="0" collapsed="false">
      <c r="D50" s="0" t="s">
        <v>92</v>
      </c>
      <c r="E50" s="93" t="n">
        <v>21339</v>
      </c>
    </row>
    <row r="52" customFormat="false" ht="15" hidden="false" customHeight="false" outlineLevel="0" collapsed="false">
      <c r="B52" s="102" t="s">
        <v>93</v>
      </c>
      <c r="C52" s="102"/>
      <c r="D52" s="102"/>
      <c r="E52" s="102"/>
    </row>
    <row r="54" customFormat="false" ht="15" hidden="false" customHeight="false" outlineLevel="0" collapsed="false">
      <c r="B54" s="0" t="s">
        <v>91</v>
      </c>
      <c r="D54" s="0" t="s">
        <v>63</v>
      </c>
      <c r="E54" s="103" t="n">
        <v>22.5</v>
      </c>
    </row>
    <row r="55" customFormat="false" ht="15" hidden="false" customHeight="false" outlineLevel="0" collapsed="false">
      <c r="D55" s="0" t="s">
        <v>92</v>
      </c>
      <c r="E55" s="93" t="n">
        <v>20989</v>
      </c>
    </row>
    <row r="57" customFormat="false" ht="15" hidden="false" customHeight="false" outlineLevel="0" collapsed="false">
      <c r="B57" s="102" t="s">
        <v>94</v>
      </c>
      <c r="C57" s="102"/>
      <c r="D57" s="102"/>
      <c r="E57" s="102"/>
    </row>
    <row r="59" customFormat="false" ht="15" hidden="false" customHeight="false" outlineLevel="0" collapsed="false">
      <c r="B59" s="0" t="s">
        <v>91</v>
      </c>
      <c r="D59" s="0" t="s">
        <v>63</v>
      </c>
      <c r="E59" s="103" t="n">
        <v>45</v>
      </c>
    </row>
    <row r="60" customFormat="false" ht="15" hidden="false" customHeight="false" outlineLevel="0" collapsed="false">
      <c r="D60" s="0" t="s">
        <v>92</v>
      </c>
      <c r="E60" s="93" t="n">
        <v>29229</v>
      </c>
    </row>
    <row r="62" customFormat="false" ht="15" hidden="false" customHeight="false" outlineLevel="0" collapsed="false">
      <c r="B62" s="88" t="s">
        <v>95</v>
      </c>
      <c r="C62" s="88"/>
      <c r="D62" s="88"/>
      <c r="E62" s="88"/>
    </row>
    <row r="63" customFormat="false" ht="15" hidden="false" customHeight="false" outlineLevel="0" collapsed="false">
      <c r="B63" s="116"/>
      <c r="C63" s="116"/>
      <c r="D63" s="116"/>
      <c r="E63" s="116"/>
    </row>
    <row r="64" customFormat="false" ht="15" hidden="false" customHeight="false" outlineLevel="0" collapsed="false">
      <c r="C64" s="2" t="s">
        <v>96</v>
      </c>
    </row>
    <row r="65" customFormat="false" ht="15" hidden="false" customHeight="false" outlineLevel="0" collapsed="false">
      <c r="B65" s="0" t="s">
        <v>97</v>
      </c>
      <c r="C65" s="2" t="n">
        <v>8</v>
      </c>
      <c r="D65" s="0" t="s">
        <v>63</v>
      </c>
      <c r="E65" s="89" t="n">
        <f aca="false">C65*E54</f>
        <v>180</v>
      </c>
    </row>
    <row r="66" customFormat="false" ht="15" hidden="false" customHeight="false" outlineLevel="0" collapsed="false">
      <c r="E66" s="18"/>
    </row>
    <row r="68" customFormat="false" ht="15" hidden="false" customHeight="false" outlineLevel="0" collapsed="false">
      <c r="B68" s="109" t="s">
        <v>65</v>
      </c>
      <c r="C68" s="110"/>
      <c r="D68" s="110" t="s">
        <v>66</v>
      </c>
      <c r="E68" s="111" t="n">
        <v>335</v>
      </c>
    </row>
    <row r="69" customFormat="false" ht="15" hidden="false" customHeight="false" outlineLevel="0" collapsed="false">
      <c r="B69" s="91" t="s">
        <v>67</v>
      </c>
      <c r="C69" s="0" t="s">
        <v>103</v>
      </c>
      <c r="D69" s="0" t="s">
        <v>69</v>
      </c>
      <c r="E69" s="98" t="n">
        <f aca="false">(E65/E68)*1000</f>
        <v>537.31</v>
      </c>
      <c r="F69" s="112"/>
    </row>
    <row r="70" customFormat="false" ht="15" hidden="false" customHeight="false" outlineLevel="0" collapsed="false">
      <c r="B70" s="91" t="s">
        <v>81</v>
      </c>
      <c r="D70" s="0" t="s">
        <v>69</v>
      </c>
      <c r="E70" s="98" t="n">
        <v>537</v>
      </c>
    </row>
    <row r="71" customFormat="false" ht="15" hidden="false" customHeight="false" outlineLevel="0" collapsed="false">
      <c r="B71" s="91" t="s">
        <v>70</v>
      </c>
      <c r="D71" s="0" t="s">
        <v>47</v>
      </c>
      <c r="E71" s="93" t="n">
        <v>1.98</v>
      </c>
    </row>
    <row r="72" customFormat="false" ht="15" hidden="false" customHeight="false" outlineLevel="0" collapsed="false">
      <c r="B72" s="91" t="s">
        <v>99</v>
      </c>
      <c r="C72" s="0" t="s">
        <v>72</v>
      </c>
      <c r="D72" s="0" t="s">
        <v>47</v>
      </c>
      <c r="E72" s="98" t="n">
        <f aca="false">E71*E70</f>
        <v>1063.26</v>
      </c>
    </row>
    <row r="73" customFormat="false" ht="15" hidden="false" customHeight="false" outlineLevel="0" collapsed="false">
      <c r="B73" s="91" t="s">
        <v>99</v>
      </c>
      <c r="D73" s="41" t="s">
        <v>89</v>
      </c>
      <c r="E73" s="100" t="n">
        <f aca="false">E72/E7</f>
        <v>0.65</v>
      </c>
    </row>
    <row r="74" customFormat="false" ht="15" hidden="false" customHeight="false" outlineLevel="0" collapsed="false">
      <c r="B74" s="91"/>
      <c r="D74" s="41"/>
      <c r="E74" s="100"/>
    </row>
    <row r="75" customFormat="false" ht="15" hidden="false" customHeight="false" outlineLevel="0" collapsed="false">
      <c r="B75" s="91" t="s">
        <v>82</v>
      </c>
      <c r="C75" s="0" t="s">
        <v>83</v>
      </c>
      <c r="D75" s="0" t="s">
        <v>63</v>
      </c>
      <c r="E75" s="93" t="n">
        <f aca="false">E70*E68/1000</f>
        <v>179.9</v>
      </c>
    </row>
    <row r="76" customFormat="false" ht="15" hidden="false" customHeight="false" outlineLevel="0" collapsed="false">
      <c r="B76" s="91" t="s">
        <v>84</v>
      </c>
      <c r="C76" s="0" t="s">
        <v>85</v>
      </c>
      <c r="D76" s="0" t="s">
        <v>40</v>
      </c>
      <c r="E76" s="98" t="n">
        <f aca="false">E70*E68*E12/1000</f>
        <v>258050.38</v>
      </c>
    </row>
    <row r="77" customFormat="false" ht="15" hidden="false" customHeight="false" outlineLevel="0" collapsed="false">
      <c r="B77" s="91" t="s">
        <v>86</v>
      </c>
      <c r="C77" s="0" t="s">
        <v>51</v>
      </c>
      <c r="D77" s="0" t="s">
        <v>40</v>
      </c>
      <c r="E77" s="93" t="n">
        <f aca="false">K20*12</f>
        <v>75425.57</v>
      </c>
    </row>
    <row r="78" customFormat="false" ht="15" hidden="false" customHeight="false" outlineLevel="0" collapsed="false">
      <c r="B78" s="91"/>
      <c r="E78" s="93"/>
      <c r="F78" s="112" t="n">
        <f aca="false">1-E79</f>
        <v>0.7077</v>
      </c>
    </row>
    <row r="79" customFormat="false" ht="15" hidden="false" customHeight="false" outlineLevel="0" collapsed="false">
      <c r="B79" s="91" t="s">
        <v>87</v>
      </c>
      <c r="C79" s="0" t="s">
        <v>88</v>
      </c>
      <c r="D79" s="0" t="s">
        <v>89</v>
      </c>
      <c r="E79" s="104" t="n">
        <f aca="false">E77/E76</f>
        <v>0.2923</v>
      </c>
    </row>
    <row r="80" customFormat="false" ht="15" hidden="false" customHeight="false" outlineLevel="0" collapsed="false">
      <c r="B80" s="91"/>
      <c r="E80" s="93"/>
    </row>
    <row r="81" customFormat="false" ht="15" hidden="false" customHeight="false" outlineLevel="0" collapsed="false">
      <c r="B81" s="91" t="s">
        <v>73</v>
      </c>
      <c r="D81" s="0" t="s">
        <v>74</v>
      </c>
      <c r="E81" s="93" t="n">
        <v>839</v>
      </c>
    </row>
    <row r="82" customFormat="false" ht="15" hidden="false" customHeight="false" outlineLevel="0" collapsed="false">
      <c r="B82" s="91" t="s">
        <v>75</v>
      </c>
      <c r="D82" s="0" t="s">
        <v>74</v>
      </c>
      <c r="E82" s="98" t="n">
        <f aca="false">E70*E81</f>
        <v>450543</v>
      </c>
    </row>
    <row r="83" customFormat="false" ht="15" hidden="false" customHeight="false" outlineLevel="0" collapsed="false">
      <c r="B83" s="91" t="s">
        <v>101</v>
      </c>
      <c r="D83" s="0" t="s">
        <v>74</v>
      </c>
      <c r="E83" s="98" t="n">
        <f aca="false">C65*E55</f>
        <v>167912</v>
      </c>
    </row>
    <row r="84" customFormat="false" ht="15" hidden="false" customHeight="false" outlineLevel="0" collapsed="false">
      <c r="B84" s="94" t="s">
        <v>102</v>
      </c>
      <c r="C84" s="95"/>
      <c r="D84" s="95" t="s">
        <v>74</v>
      </c>
      <c r="E84" s="101" t="n">
        <f aca="false">SUM(E82:E83)</f>
        <v>618455</v>
      </c>
    </row>
    <row r="129" customFormat="false" ht="15" hidden="false" customHeight="false" outlineLevel="0" collapsed="false">
      <c r="G129" s="112" t="n">
        <f aca="false">1-E79</f>
        <v>0.7077</v>
      </c>
    </row>
  </sheetData>
  <mergeCells count="7">
    <mergeCell ref="B5:E5"/>
    <mergeCell ref="B15:E15"/>
    <mergeCell ref="B28:E28"/>
    <mergeCell ref="B47:E47"/>
    <mergeCell ref="B52:E52"/>
    <mergeCell ref="B57:E57"/>
    <mergeCell ref="B62:E62"/>
  </mergeCells>
  <printOptions headings="false" gridLines="false" gridLinesSet="true" horizontalCentered="false" verticalCentered="false"/>
  <pageMargins left="0.511805555555555" right="0.511805555555555" top="1.18125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K1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34"/>
    <col collapsed="false" customWidth="true" hidden="false" outlineLevel="0" max="3" min="3" style="0" width="48.86"/>
    <col collapsed="false" customWidth="true" hidden="false" outlineLevel="0" max="4" min="4" style="0" width="12.42"/>
    <col collapsed="false" customWidth="true" hidden="false" outlineLevel="0" max="5" min="5" style="0" width="19.85"/>
    <col collapsed="false" customWidth="true" hidden="false" outlineLevel="0" max="10" min="6" style="0" width="9"/>
    <col collapsed="false" customWidth="true" hidden="false" outlineLevel="0" max="11" min="11" style="0" width="15.15"/>
    <col collapsed="false" customWidth="true" hidden="false" outlineLevel="0" max="64" min="12" style="0" width="9"/>
  </cols>
  <sheetData>
    <row r="5" customFormat="false" ht="15" hidden="false" customHeight="false" outlineLevel="0" collapsed="false">
      <c r="B5" s="83" t="s">
        <v>132</v>
      </c>
      <c r="C5" s="83"/>
      <c r="D5" s="83"/>
      <c r="E5" s="83"/>
    </row>
    <row r="6" customFormat="false" ht="15" hidden="false" customHeight="false" outlineLevel="0" collapsed="false">
      <c r="B6" s="0" t="s">
        <v>45</v>
      </c>
      <c r="C6" s="2" t="s">
        <v>24</v>
      </c>
      <c r="K6" s="84" t="str">
        <f aca="false">B5</f>
        <v>JATAÍ</v>
      </c>
    </row>
    <row r="7" customFormat="false" ht="15" hidden="false" customHeight="false" outlineLevel="0" collapsed="false">
      <c r="B7" s="0" t="s">
        <v>46</v>
      </c>
      <c r="D7" s="0" t="s">
        <v>47</v>
      </c>
      <c r="E7" s="18" t="n">
        <v>594.81</v>
      </c>
      <c r="J7" s="78" t="n">
        <v>43466</v>
      </c>
      <c r="K7" s="106" t="n">
        <v>2066</v>
      </c>
    </row>
    <row r="8" customFormat="false" ht="15" hidden="false" customHeight="false" outlineLevel="0" collapsed="false">
      <c r="B8" s="0" t="s">
        <v>48</v>
      </c>
      <c r="E8" s="18" t="s">
        <v>133</v>
      </c>
      <c r="J8" s="78" t="n">
        <v>43497</v>
      </c>
      <c r="K8" s="106" t="n">
        <v>2342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K20*12</f>
        <v>27251.5</v>
      </c>
      <c r="J9" s="78" t="n">
        <v>43525</v>
      </c>
      <c r="K9" s="106" t="n">
        <v>2318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5.14</v>
      </c>
      <c r="J10" s="78" t="n">
        <v>43556</v>
      </c>
      <c r="K10" s="106" t="n">
        <v>2358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</v>
      </c>
      <c r="J11" s="78" t="n">
        <v>43586</v>
      </c>
      <c r="K11" s="106" t="n">
        <v>1901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1313.27</v>
      </c>
      <c r="J12" s="78" t="n">
        <v>43617</v>
      </c>
      <c r="K12" s="106" t="n">
        <v>1185</v>
      </c>
    </row>
    <row r="13" customFormat="false" ht="15" hidden="false" customHeight="false" outlineLevel="0" collapsed="false">
      <c r="J13" s="78" t="n">
        <v>43647</v>
      </c>
      <c r="K13" s="106" t="n">
        <v>999</v>
      </c>
    </row>
    <row r="14" customFormat="false" ht="15" hidden="false" customHeight="false" outlineLevel="0" collapsed="false">
      <c r="B14" s="88" t="s">
        <v>60</v>
      </c>
      <c r="C14" s="88"/>
      <c r="D14" s="88"/>
      <c r="E14" s="88"/>
      <c r="J14" s="78" t="n">
        <v>43678</v>
      </c>
      <c r="K14" s="106" t="n">
        <v>1601</v>
      </c>
    </row>
    <row r="15" customFormat="false" ht="15" hidden="false" customHeight="false" outlineLevel="0" collapsed="false">
      <c r="J15" s="78" t="n">
        <v>43709</v>
      </c>
      <c r="K15" s="106" t="n">
        <v>3435</v>
      </c>
    </row>
    <row r="16" customFormat="false" ht="15" hidden="false" customHeight="false" outlineLevel="0" collapsed="false">
      <c r="B16" s="0" t="s">
        <v>61</v>
      </c>
      <c r="C16" s="0" t="s">
        <v>62</v>
      </c>
      <c r="D16" s="0" t="s">
        <v>63</v>
      </c>
      <c r="E16" s="89" t="n">
        <f aca="false">E9/E12</f>
        <v>20.75</v>
      </c>
      <c r="J16" s="78" t="n">
        <v>43739</v>
      </c>
      <c r="K16" s="106" t="n">
        <v>3281</v>
      </c>
    </row>
    <row r="17" customFormat="false" ht="15" hidden="false" customHeight="false" outlineLevel="0" collapsed="false">
      <c r="J17" s="78" t="n">
        <v>43770</v>
      </c>
      <c r="K17" s="106" t="n">
        <v>2750</v>
      </c>
    </row>
    <row r="18" customFormat="false" ht="15" hidden="false" customHeight="false" outlineLevel="0" collapsed="false">
      <c r="B18" s="109" t="s">
        <v>65</v>
      </c>
      <c r="C18" s="110"/>
      <c r="D18" s="110" t="s">
        <v>66</v>
      </c>
      <c r="E18" s="111" t="n">
        <v>335</v>
      </c>
      <c r="J18" s="78" t="n">
        <v>43800</v>
      </c>
      <c r="K18" s="106" t="n">
        <v>3015.5</v>
      </c>
    </row>
    <row r="19" customFormat="false" ht="15" hidden="false" customHeight="false" outlineLevel="0" collapsed="false">
      <c r="B19" s="91" t="s">
        <v>67</v>
      </c>
      <c r="C19" s="0" t="s">
        <v>68</v>
      </c>
      <c r="D19" s="0" t="s">
        <v>69</v>
      </c>
      <c r="E19" s="93" t="n">
        <f aca="false">E16*1000/E18</f>
        <v>61.94</v>
      </c>
    </row>
    <row r="20" customFormat="false" ht="15" hidden="false" customHeight="false" outlineLevel="0" collapsed="false">
      <c r="B20" s="91" t="s">
        <v>70</v>
      </c>
      <c r="D20" s="0" t="s">
        <v>47</v>
      </c>
      <c r="E20" s="93" t="n">
        <v>1.98</v>
      </c>
      <c r="J20" s="0" t="s">
        <v>39</v>
      </c>
      <c r="K20" s="0" t="n">
        <f aca="false">(SUM(K7:K18))/12</f>
        <v>2270.95833333333</v>
      </c>
    </row>
    <row r="21" customFormat="false" ht="15" hidden="false" customHeight="false" outlineLevel="0" collapsed="false">
      <c r="B21" s="91" t="s">
        <v>71</v>
      </c>
      <c r="C21" s="0" t="s">
        <v>72</v>
      </c>
      <c r="D21" s="0" t="s">
        <v>47</v>
      </c>
      <c r="E21" s="93" t="n">
        <f aca="false">E19*E20</f>
        <v>122.64</v>
      </c>
    </row>
    <row r="22" customFormat="false" ht="15" hidden="false" customHeight="false" outlineLevel="0" collapsed="false">
      <c r="B22" s="91" t="s">
        <v>73</v>
      </c>
      <c r="D22" s="0" t="s">
        <v>74</v>
      </c>
      <c r="E22" s="93" t="n">
        <v>839</v>
      </c>
    </row>
    <row r="23" customFormat="false" ht="15" hidden="false" customHeight="false" outlineLevel="0" collapsed="false">
      <c r="B23" s="91"/>
      <c r="E23" s="97"/>
    </row>
    <row r="24" customFormat="false" ht="15" hidden="false" customHeight="false" outlineLevel="0" collapsed="false">
      <c r="B24" s="94" t="s">
        <v>75</v>
      </c>
      <c r="C24" s="95"/>
      <c r="D24" s="95" t="s">
        <v>74</v>
      </c>
      <c r="E24" s="96" t="n">
        <f aca="false">E22*E19</f>
        <v>51967.66</v>
      </c>
    </row>
    <row r="27" customFormat="false" ht="15" hidden="false" customHeight="false" outlineLevel="0" collapsed="false">
      <c r="B27" s="88" t="s">
        <v>77</v>
      </c>
      <c r="C27" s="88"/>
      <c r="D27" s="88"/>
      <c r="E27" s="88"/>
    </row>
    <row r="29" customFormat="false" ht="15" hidden="false" customHeight="false" outlineLevel="0" collapsed="false">
      <c r="B29" s="0" t="s">
        <v>78</v>
      </c>
      <c r="C29" s="0" t="s">
        <v>79</v>
      </c>
      <c r="D29" s="0" t="s">
        <v>47</v>
      </c>
      <c r="E29" s="89" t="n">
        <f aca="false">E7*0.8</f>
        <v>475.85</v>
      </c>
    </row>
    <row r="30" customFormat="false" ht="15" hidden="false" customHeight="false" outlineLevel="0" collapsed="false">
      <c r="E30" s="18"/>
    </row>
    <row r="31" customFormat="false" ht="15" hidden="false" customHeight="false" outlineLevel="0" collapsed="false">
      <c r="E31" s="18"/>
    </row>
    <row r="32" customFormat="false" ht="15" hidden="false" customHeight="false" outlineLevel="0" collapsed="false">
      <c r="E32" s="18"/>
    </row>
    <row r="33" customFormat="false" ht="15" hidden="false" customHeight="false" outlineLevel="0" collapsed="false">
      <c r="E33" s="18"/>
    </row>
    <row r="34" customFormat="false" ht="15" hidden="false" customHeight="false" outlineLevel="0" collapsed="false">
      <c r="B34" s="109" t="s">
        <v>70</v>
      </c>
      <c r="C34" s="110"/>
      <c r="D34" s="110" t="s">
        <v>47</v>
      </c>
      <c r="E34" s="111" t="n">
        <v>1.98</v>
      </c>
    </row>
    <row r="35" customFormat="false" ht="15" hidden="false" customHeight="false" outlineLevel="0" collapsed="false">
      <c r="B35" s="91" t="s">
        <v>67</v>
      </c>
      <c r="C35" s="0" t="s">
        <v>80</v>
      </c>
      <c r="D35" s="0" t="s">
        <v>69</v>
      </c>
      <c r="E35" s="98" t="n">
        <f aca="false">E29/E34</f>
        <v>240.33</v>
      </c>
    </row>
    <row r="36" customFormat="false" ht="15" hidden="false" customHeight="false" outlineLevel="0" collapsed="false">
      <c r="B36" s="91" t="s">
        <v>81</v>
      </c>
      <c r="D36" s="0" t="s">
        <v>69</v>
      </c>
      <c r="E36" s="98" t="n">
        <v>240</v>
      </c>
      <c r="H36" s="18"/>
    </row>
    <row r="37" customFormat="false" ht="15" hidden="false" customHeight="false" outlineLevel="0" collapsed="false">
      <c r="B37" s="91" t="s">
        <v>65</v>
      </c>
      <c r="D37" s="0" t="s">
        <v>66</v>
      </c>
      <c r="E37" s="93" t="n">
        <v>335</v>
      </c>
    </row>
    <row r="38" customFormat="false" ht="15" hidden="false" customHeight="false" outlineLevel="0" collapsed="false">
      <c r="B38" s="91" t="s">
        <v>82</v>
      </c>
      <c r="C38" s="0" t="s">
        <v>83</v>
      </c>
      <c r="D38" s="0" t="s">
        <v>63</v>
      </c>
      <c r="E38" s="98" t="n">
        <f aca="false">(E36*E37)/1000</f>
        <v>80.4</v>
      </c>
      <c r="G38" s="117"/>
      <c r="H38" s="18"/>
    </row>
    <row r="39" customFormat="false" ht="15" hidden="false" customHeight="false" outlineLevel="0" collapsed="false">
      <c r="B39" s="91"/>
      <c r="E39" s="93"/>
    </row>
    <row r="40" customFormat="false" ht="15" hidden="false" customHeight="false" outlineLevel="0" collapsed="false">
      <c r="B40" s="91" t="s">
        <v>84</v>
      </c>
      <c r="C40" s="0" t="s">
        <v>85</v>
      </c>
      <c r="D40" s="0" t="s">
        <v>40</v>
      </c>
      <c r="E40" s="98" t="n">
        <f aca="false">E38*E12</f>
        <v>105586.91</v>
      </c>
    </row>
    <row r="41" customFormat="false" ht="15" hidden="false" customHeight="false" outlineLevel="0" collapsed="false">
      <c r="B41" s="91" t="s">
        <v>86</v>
      </c>
      <c r="C41" s="0" t="s">
        <v>51</v>
      </c>
      <c r="D41" s="0" t="s">
        <v>40</v>
      </c>
      <c r="E41" s="93" t="n">
        <f aca="false">E9</f>
        <v>27251.5</v>
      </c>
    </row>
    <row r="42" customFormat="false" ht="15" hidden="false" customHeight="false" outlineLevel="0" collapsed="false">
      <c r="B42" s="91"/>
      <c r="E42" s="93"/>
    </row>
    <row r="43" customFormat="false" ht="15" hidden="false" customHeight="false" outlineLevel="0" collapsed="false">
      <c r="B43" s="91" t="s">
        <v>87</v>
      </c>
      <c r="C43" s="0" t="s">
        <v>88</v>
      </c>
      <c r="D43" s="0" t="s">
        <v>89</v>
      </c>
      <c r="E43" s="100" t="n">
        <f aca="false">E41/E40</f>
        <v>0.26</v>
      </c>
    </row>
    <row r="44" customFormat="false" ht="15" hidden="false" customHeight="false" outlineLevel="0" collapsed="false">
      <c r="B44" s="91"/>
      <c r="E44" s="93"/>
      <c r="G44" s="117"/>
      <c r="H44" s="18"/>
    </row>
    <row r="45" customFormat="false" ht="15" hidden="false" customHeight="false" outlineLevel="0" collapsed="false">
      <c r="B45" s="91" t="s">
        <v>73</v>
      </c>
      <c r="D45" s="0" t="s">
        <v>74</v>
      </c>
      <c r="E45" s="93" t="n">
        <v>839</v>
      </c>
    </row>
    <row r="46" customFormat="false" ht="15" hidden="false" customHeight="false" outlineLevel="0" collapsed="false">
      <c r="B46" s="94" t="s">
        <v>75</v>
      </c>
      <c r="C46" s="95"/>
      <c r="D46" s="95" t="s">
        <v>74</v>
      </c>
      <c r="E46" s="101" t="n">
        <f aca="false">E45*E36</f>
        <v>201360</v>
      </c>
    </row>
    <row r="48" customFormat="false" ht="15" hidden="false" customHeight="false" outlineLevel="0" collapsed="false">
      <c r="B48" s="102" t="s">
        <v>90</v>
      </c>
      <c r="C48" s="102"/>
      <c r="D48" s="102"/>
      <c r="E48" s="102"/>
    </row>
    <row r="50" customFormat="false" ht="15" hidden="false" customHeight="false" outlineLevel="0" collapsed="false">
      <c r="B50" s="0" t="s">
        <v>91</v>
      </c>
      <c r="D50" s="0" t="s">
        <v>63</v>
      </c>
      <c r="E50" s="103" t="n">
        <v>30</v>
      </c>
      <c r="G50" s="117"/>
      <c r="H50" s="18"/>
    </row>
    <row r="51" customFormat="false" ht="15" hidden="false" customHeight="false" outlineLevel="0" collapsed="false">
      <c r="D51" s="0" t="s">
        <v>92</v>
      </c>
      <c r="E51" s="93" t="n">
        <v>21339</v>
      </c>
    </row>
    <row r="53" customFormat="false" ht="15" hidden="false" customHeight="false" outlineLevel="0" collapsed="false">
      <c r="B53" s="102" t="s">
        <v>93</v>
      </c>
      <c r="C53" s="102"/>
      <c r="D53" s="102"/>
      <c r="E53" s="102"/>
    </row>
    <row r="55" customFormat="false" ht="15" hidden="false" customHeight="false" outlineLevel="0" collapsed="false">
      <c r="B55" s="0" t="s">
        <v>91</v>
      </c>
      <c r="D55" s="0" t="s">
        <v>63</v>
      </c>
      <c r="E55" s="103" t="n">
        <v>22.5</v>
      </c>
    </row>
    <row r="56" customFormat="false" ht="15" hidden="false" customHeight="false" outlineLevel="0" collapsed="false">
      <c r="D56" s="0" t="s">
        <v>92</v>
      </c>
      <c r="E56" s="93" t="n">
        <v>20989</v>
      </c>
      <c r="G56" s="117"/>
      <c r="H56" s="18"/>
    </row>
    <row r="58" customFormat="false" ht="15" hidden="false" customHeight="false" outlineLevel="0" collapsed="false">
      <c r="B58" s="102" t="s">
        <v>94</v>
      </c>
      <c r="C58" s="102"/>
      <c r="D58" s="102"/>
      <c r="E58" s="102"/>
    </row>
    <row r="60" customFormat="false" ht="15" hidden="false" customHeight="false" outlineLevel="0" collapsed="false">
      <c r="B60" s="0" t="s">
        <v>91</v>
      </c>
      <c r="D60" s="0" t="s">
        <v>63</v>
      </c>
      <c r="E60" s="103" t="n">
        <v>45</v>
      </c>
    </row>
    <row r="61" customFormat="false" ht="15" hidden="false" customHeight="false" outlineLevel="0" collapsed="false">
      <c r="D61" s="0" t="s">
        <v>92</v>
      </c>
      <c r="E61" s="93" t="n">
        <v>29229</v>
      </c>
    </row>
    <row r="63" customFormat="false" ht="15" hidden="false" customHeight="false" outlineLevel="0" collapsed="false">
      <c r="B63" s="88" t="s">
        <v>95</v>
      </c>
      <c r="C63" s="88"/>
      <c r="D63" s="88"/>
      <c r="E63" s="88"/>
    </row>
    <row r="64" customFormat="false" ht="15" hidden="false" customHeight="false" outlineLevel="0" collapsed="false">
      <c r="C64" s="2" t="s">
        <v>96</v>
      </c>
    </row>
    <row r="65" customFormat="false" ht="15" hidden="false" customHeight="false" outlineLevel="0" collapsed="false">
      <c r="B65" s="0" t="s">
        <v>97</v>
      </c>
      <c r="C65" s="2" t="n">
        <v>3</v>
      </c>
      <c r="D65" s="0" t="s">
        <v>63</v>
      </c>
      <c r="E65" s="89" t="n">
        <f aca="false">C65*E55</f>
        <v>67.5</v>
      </c>
    </row>
    <row r="66" customFormat="false" ht="15" hidden="false" customHeight="false" outlineLevel="0" collapsed="false">
      <c r="E66" s="18"/>
    </row>
    <row r="68" customFormat="false" ht="15" hidden="false" customHeight="false" outlineLevel="0" collapsed="false">
      <c r="B68" s="109" t="s">
        <v>65</v>
      </c>
      <c r="C68" s="110"/>
      <c r="D68" s="110" t="s">
        <v>66</v>
      </c>
      <c r="E68" s="111" t="n">
        <v>335</v>
      </c>
    </row>
    <row r="69" customFormat="false" ht="15" hidden="false" customHeight="false" outlineLevel="0" collapsed="false">
      <c r="B69" s="91" t="s">
        <v>67</v>
      </c>
      <c r="C69" s="0" t="s">
        <v>103</v>
      </c>
      <c r="D69" s="0" t="s">
        <v>69</v>
      </c>
      <c r="E69" s="98" t="n">
        <f aca="false">(E65/E68)*1000</f>
        <v>201.49</v>
      </c>
    </row>
    <row r="70" customFormat="false" ht="15" hidden="false" customHeight="false" outlineLevel="0" collapsed="false">
      <c r="B70" s="91" t="s">
        <v>81</v>
      </c>
      <c r="D70" s="0" t="s">
        <v>69</v>
      </c>
      <c r="E70" s="98" t="n">
        <v>201</v>
      </c>
    </row>
    <row r="71" customFormat="false" ht="15" hidden="false" customHeight="false" outlineLevel="0" collapsed="false">
      <c r="B71" s="91" t="s">
        <v>70</v>
      </c>
      <c r="D71" s="0" t="s">
        <v>47</v>
      </c>
      <c r="E71" s="93" t="n">
        <v>1.98</v>
      </c>
    </row>
    <row r="72" customFormat="false" ht="15" hidden="false" customHeight="false" outlineLevel="0" collapsed="false">
      <c r="B72" s="91" t="s">
        <v>99</v>
      </c>
      <c r="C72" s="0" t="s">
        <v>72</v>
      </c>
      <c r="D72" s="0" t="s">
        <v>47</v>
      </c>
      <c r="E72" s="98" t="n">
        <f aca="false">E71*E70</f>
        <v>397.98</v>
      </c>
    </row>
    <row r="73" customFormat="false" ht="15" hidden="false" customHeight="false" outlineLevel="0" collapsed="false">
      <c r="B73" s="91" t="s">
        <v>99</v>
      </c>
      <c r="D73" s="41" t="s">
        <v>89</v>
      </c>
      <c r="E73" s="100" t="n">
        <f aca="false">E72/E7</f>
        <v>0.67</v>
      </c>
    </row>
    <row r="74" customFormat="false" ht="15" hidden="false" customHeight="false" outlineLevel="0" collapsed="false">
      <c r="B74" s="91"/>
      <c r="D74" s="41"/>
      <c r="E74" s="100"/>
    </row>
    <row r="75" customFormat="false" ht="15" hidden="false" customHeight="false" outlineLevel="0" collapsed="false">
      <c r="B75" s="91" t="s">
        <v>82</v>
      </c>
      <c r="C75" s="0" t="s">
        <v>83</v>
      </c>
      <c r="D75" s="0" t="s">
        <v>63</v>
      </c>
      <c r="E75" s="93" t="n">
        <f aca="false">E70*E68/1000</f>
        <v>67.34</v>
      </c>
    </row>
    <row r="76" customFormat="false" ht="15" hidden="false" customHeight="false" outlineLevel="0" collapsed="false">
      <c r="B76" s="91" t="s">
        <v>84</v>
      </c>
      <c r="C76" s="0" t="s">
        <v>85</v>
      </c>
      <c r="D76" s="0" t="s">
        <v>40</v>
      </c>
      <c r="E76" s="98" t="n">
        <f aca="false">E75*E12</f>
        <v>88435.6</v>
      </c>
    </row>
    <row r="77" customFormat="false" ht="15" hidden="false" customHeight="false" outlineLevel="0" collapsed="false">
      <c r="B77" s="91" t="s">
        <v>86</v>
      </c>
      <c r="C77" s="0" t="s">
        <v>51</v>
      </c>
      <c r="D77" s="0" t="s">
        <v>40</v>
      </c>
      <c r="E77" s="93" t="n">
        <f aca="false">E9</f>
        <v>27251.5</v>
      </c>
    </row>
    <row r="78" customFormat="false" ht="15" hidden="false" customHeight="false" outlineLevel="0" collapsed="false">
      <c r="B78" s="91"/>
      <c r="E78" s="93"/>
    </row>
    <row r="79" customFormat="false" ht="15" hidden="false" customHeight="false" outlineLevel="0" collapsed="false">
      <c r="B79" s="91" t="s">
        <v>87</v>
      </c>
      <c r="C79" s="0" t="s">
        <v>88</v>
      </c>
      <c r="D79" s="0" t="s">
        <v>89</v>
      </c>
      <c r="E79" s="104" t="n">
        <f aca="false">E77/E76</f>
        <v>0.3082</v>
      </c>
      <c r="F79" s="112" t="n">
        <f aca="false">1-E79</f>
        <v>0.6918</v>
      </c>
    </row>
    <row r="80" customFormat="false" ht="15" hidden="false" customHeight="false" outlineLevel="0" collapsed="false">
      <c r="B80" s="91"/>
      <c r="E80" s="93"/>
    </row>
    <row r="81" customFormat="false" ht="15" hidden="false" customHeight="false" outlineLevel="0" collapsed="false">
      <c r="B81" s="91" t="s">
        <v>73</v>
      </c>
      <c r="D81" s="0" t="s">
        <v>74</v>
      </c>
      <c r="E81" s="93" t="n">
        <v>839</v>
      </c>
    </row>
    <row r="82" customFormat="false" ht="15" hidden="false" customHeight="false" outlineLevel="0" collapsed="false">
      <c r="B82" s="91" t="s">
        <v>75</v>
      </c>
      <c r="D82" s="0" t="s">
        <v>74</v>
      </c>
      <c r="E82" s="98" t="n">
        <f aca="false">E70*E81</f>
        <v>168639</v>
      </c>
    </row>
    <row r="83" customFormat="false" ht="15" hidden="false" customHeight="false" outlineLevel="0" collapsed="false">
      <c r="B83" s="91" t="s">
        <v>101</v>
      </c>
      <c r="D83" s="0" t="s">
        <v>74</v>
      </c>
      <c r="E83" s="98" t="n">
        <f aca="false">C65*E56</f>
        <v>62967</v>
      </c>
    </row>
    <row r="84" customFormat="false" ht="15" hidden="false" customHeight="false" outlineLevel="0" collapsed="false">
      <c r="B84" s="94" t="s">
        <v>102</v>
      </c>
      <c r="C84" s="95"/>
      <c r="D84" s="95" t="s">
        <v>74</v>
      </c>
      <c r="E84" s="101" t="n">
        <f aca="false">SUM(E82:E83)</f>
        <v>231606</v>
      </c>
    </row>
    <row r="126" customFormat="false" ht="15" hidden="false" customHeight="false" outlineLevel="0" collapsed="false">
      <c r="G126" s="112" t="e">
        <f aca="false">1-#REF!</f>
        <v>#REF!</v>
      </c>
    </row>
  </sheetData>
  <mergeCells count="7">
    <mergeCell ref="B5:E5"/>
    <mergeCell ref="B14:E14"/>
    <mergeCell ref="B27:E27"/>
    <mergeCell ref="B48:E48"/>
    <mergeCell ref="B53:E53"/>
    <mergeCell ref="B58:E58"/>
    <mergeCell ref="B63:E63"/>
  </mergeCells>
  <printOptions headings="false" gridLines="false" gridLinesSet="true" horizontalCentered="false" verticalCentered="false"/>
  <pageMargins left="0.511805555555555" right="0.511805555555555" top="1.18125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K8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34"/>
    <col collapsed="false" customWidth="true" hidden="false" outlineLevel="0" max="3" min="3" style="0" width="48.86"/>
    <col collapsed="false" customWidth="true" hidden="false" outlineLevel="0" max="4" min="4" style="0" width="12.42"/>
    <col collapsed="false" customWidth="true" hidden="false" outlineLevel="0" max="5" min="5" style="0" width="19.85"/>
    <col collapsed="false" customWidth="true" hidden="false" outlineLevel="0" max="10" min="6" style="0" width="9"/>
    <col collapsed="false" customWidth="true" hidden="false" outlineLevel="0" max="11" min="11" style="0" width="19.85"/>
    <col collapsed="false" customWidth="true" hidden="false" outlineLevel="0" max="64" min="12" style="0" width="9"/>
  </cols>
  <sheetData>
    <row r="5" customFormat="false" ht="15" hidden="false" customHeight="false" outlineLevel="0" collapsed="false">
      <c r="B5" s="83" t="s">
        <v>134</v>
      </c>
      <c r="C5" s="83"/>
      <c r="D5" s="83"/>
      <c r="E5" s="83"/>
    </row>
    <row r="6" customFormat="false" ht="15" hidden="false" customHeight="false" outlineLevel="0" collapsed="false">
      <c r="B6" s="0" t="s">
        <v>45</v>
      </c>
      <c r="C6" s="2" t="s">
        <v>35</v>
      </c>
      <c r="K6" s="84" t="str">
        <f aca="false">B5</f>
        <v>LUZIÂNIA</v>
      </c>
    </row>
    <row r="7" customFormat="false" ht="15" hidden="false" customHeight="false" outlineLevel="0" collapsed="false">
      <c r="B7" s="0" t="s">
        <v>46</v>
      </c>
      <c r="D7" s="0" t="s">
        <v>47</v>
      </c>
      <c r="E7" s="18" t="n">
        <v>510.66</v>
      </c>
      <c r="J7" s="78" t="n">
        <v>43466</v>
      </c>
      <c r="K7" s="106" t="n">
        <v>2893.37</v>
      </c>
    </row>
    <row r="8" customFormat="false" ht="15" hidden="false" customHeight="false" outlineLevel="0" collapsed="false">
      <c r="B8" s="0" t="s">
        <v>48</v>
      </c>
      <c r="E8" s="18" t="s">
        <v>135</v>
      </c>
      <c r="J8" s="78" t="n">
        <v>43497</v>
      </c>
      <c r="K8" s="106" t="n">
        <v>4163.61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K20*12</f>
        <v>43978.42</v>
      </c>
      <c r="J9" s="78" t="n">
        <v>43525</v>
      </c>
      <c r="K9" s="106" t="n">
        <v>3865.98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5.34</v>
      </c>
      <c r="J10" s="78" t="n">
        <v>43556</v>
      </c>
      <c r="K10" s="106" t="n">
        <v>3584.84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0.75</v>
      </c>
      <c r="J11" s="78" t="n">
        <v>43586</v>
      </c>
      <c r="K11" s="106" t="n">
        <v>3497.77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1461.83</v>
      </c>
      <c r="J12" s="78" t="n">
        <v>43617</v>
      </c>
      <c r="K12" s="106" t="n">
        <v>3276.54</v>
      </c>
    </row>
    <row r="13" customFormat="false" ht="15" hidden="false" customHeight="false" outlineLevel="0" collapsed="false">
      <c r="J13" s="78" t="n">
        <v>43647</v>
      </c>
      <c r="K13" s="106" t="n">
        <v>2778.13</v>
      </c>
    </row>
    <row r="14" customFormat="false" ht="15" hidden="false" customHeight="false" outlineLevel="0" collapsed="false">
      <c r="B14" s="88" t="s">
        <v>60</v>
      </c>
      <c r="C14" s="88"/>
      <c r="D14" s="88"/>
      <c r="E14" s="88"/>
      <c r="J14" s="78" t="n">
        <v>43678</v>
      </c>
      <c r="K14" s="106" t="n">
        <v>3094.33</v>
      </c>
    </row>
    <row r="15" customFormat="false" ht="15" hidden="false" customHeight="false" outlineLevel="0" collapsed="false">
      <c r="J15" s="78" t="n">
        <v>43709</v>
      </c>
      <c r="K15" s="106" t="n">
        <v>4398.52</v>
      </c>
    </row>
    <row r="16" customFormat="false" ht="15" hidden="false" customHeight="false" outlineLevel="0" collapsed="false">
      <c r="B16" s="0" t="s">
        <v>61</v>
      </c>
      <c r="C16" s="0" t="s">
        <v>62</v>
      </c>
      <c r="D16" s="0" t="s">
        <v>63</v>
      </c>
      <c r="E16" s="89" t="n">
        <f aca="false">E9/E12</f>
        <v>30.08</v>
      </c>
      <c r="J16" s="78" t="n">
        <v>43739</v>
      </c>
      <c r="K16" s="106" t="n">
        <v>4265.62</v>
      </c>
    </row>
    <row r="17" customFormat="false" ht="15" hidden="false" customHeight="false" outlineLevel="0" collapsed="false">
      <c r="J17" s="78" t="n">
        <v>43770</v>
      </c>
      <c r="K17" s="106" t="n">
        <v>4515.72</v>
      </c>
    </row>
    <row r="18" customFormat="false" ht="15" hidden="false" customHeight="false" outlineLevel="0" collapsed="false">
      <c r="B18" s="109" t="s">
        <v>65</v>
      </c>
      <c r="C18" s="110"/>
      <c r="D18" s="110" t="s">
        <v>66</v>
      </c>
      <c r="E18" s="111" t="n">
        <v>335</v>
      </c>
      <c r="J18" s="78" t="n">
        <v>43800</v>
      </c>
      <c r="K18" s="106" t="n">
        <v>3643.99</v>
      </c>
    </row>
    <row r="19" customFormat="false" ht="15" hidden="false" customHeight="false" outlineLevel="0" collapsed="false">
      <c r="B19" s="91" t="s">
        <v>67</v>
      </c>
      <c r="C19" s="0" t="s">
        <v>68</v>
      </c>
      <c r="D19" s="0" t="s">
        <v>69</v>
      </c>
      <c r="E19" s="93" t="n">
        <f aca="false">E16*1000/E18</f>
        <v>89.79</v>
      </c>
    </row>
    <row r="20" customFormat="false" ht="15" hidden="false" customHeight="false" outlineLevel="0" collapsed="false">
      <c r="B20" s="91" t="s">
        <v>70</v>
      </c>
      <c r="D20" s="0" t="s">
        <v>47</v>
      </c>
      <c r="E20" s="93" t="n">
        <v>1.98</v>
      </c>
      <c r="J20" s="0" t="s">
        <v>39</v>
      </c>
      <c r="K20" s="0" t="n">
        <f aca="false">(SUM(K7:K18))/12</f>
        <v>3664.86833333333</v>
      </c>
    </row>
    <row r="21" customFormat="false" ht="15" hidden="false" customHeight="false" outlineLevel="0" collapsed="false">
      <c r="B21" s="91" t="s">
        <v>71</v>
      </c>
      <c r="C21" s="0" t="s">
        <v>72</v>
      </c>
      <c r="D21" s="0" t="s">
        <v>47</v>
      </c>
      <c r="E21" s="93" t="n">
        <f aca="false">E19*E20</f>
        <v>177.78</v>
      </c>
    </row>
    <row r="22" customFormat="false" ht="15" hidden="false" customHeight="false" outlineLevel="0" collapsed="false">
      <c r="B22" s="91" t="s">
        <v>73</v>
      </c>
      <c r="D22" s="0" t="s">
        <v>74</v>
      </c>
      <c r="E22" s="93" t="n">
        <v>839</v>
      </c>
    </row>
    <row r="23" customFormat="false" ht="15" hidden="false" customHeight="false" outlineLevel="0" collapsed="false">
      <c r="B23" s="91"/>
      <c r="E23" s="97"/>
    </row>
    <row r="24" customFormat="false" ht="15" hidden="false" customHeight="false" outlineLevel="0" collapsed="false">
      <c r="B24" s="94" t="s">
        <v>75</v>
      </c>
      <c r="C24" s="95"/>
      <c r="D24" s="95" t="s">
        <v>74</v>
      </c>
      <c r="E24" s="96" t="n">
        <f aca="false">E22*E19</f>
        <v>75333.81</v>
      </c>
    </row>
    <row r="27" customFormat="false" ht="15" hidden="false" customHeight="false" outlineLevel="0" collapsed="false">
      <c r="B27" s="88" t="s">
        <v>77</v>
      </c>
      <c r="C27" s="88"/>
      <c r="D27" s="88"/>
      <c r="E27" s="88"/>
    </row>
    <row r="29" customFormat="false" ht="15" hidden="false" customHeight="false" outlineLevel="0" collapsed="false">
      <c r="B29" s="0" t="s">
        <v>78</v>
      </c>
      <c r="C29" s="0" t="s">
        <v>79</v>
      </c>
      <c r="D29" s="0" t="s">
        <v>47</v>
      </c>
      <c r="E29" s="89" t="n">
        <f aca="false">E7*0.8</f>
        <v>408.53</v>
      </c>
    </row>
    <row r="30" customFormat="false" ht="15" hidden="false" customHeight="false" outlineLevel="0" collapsed="false">
      <c r="E30" s="18"/>
    </row>
    <row r="31" customFormat="false" ht="15" hidden="false" customHeight="false" outlineLevel="0" collapsed="false">
      <c r="E31" s="18"/>
    </row>
    <row r="32" customFormat="false" ht="15" hidden="false" customHeight="false" outlineLevel="0" collapsed="false">
      <c r="E32" s="18"/>
    </row>
    <row r="33" customFormat="false" ht="15" hidden="false" customHeight="false" outlineLevel="0" collapsed="false">
      <c r="E33" s="18"/>
    </row>
    <row r="34" customFormat="false" ht="15" hidden="false" customHeight="false" outlineLevel="0" collapsed="false">
      <c r="B34" s="109" t="s">
        <v>70</v>
      </c>
      <c r="C34" s="110"/>
      <c r="D34" s="110" t="s">
        <v>47</v>
      </c>
      <c r="E34" s="111" t="n">
        <v>1.98</v>
      </c>
    </row>
    <row r="35" customFormat="false" ht="15" hidden="false" customHeight="false" outlineLevel="0" collapsed="false">
      <c r="B35" s="91" t="s">
        <v>67</v>
      </c>
      <c r="C35" s="0" t="s">
        <v>80</v>
      </c>
      <c r="D35" s="0" t="s">
        <v>69</v>
      </c>
      <c r="E35" s="98" t="n">
        <f aca="false">E29/E34</f>
        <v>206.33</v>
      </c>
    </row>
    <row r="36" customFormat="false" ht="15" hidden="false" customHeight="false" outlineLevel="0" collapsed="false">
      <c r="B36" s="91" t="s">
        <v>81</v>
      </c>
      <c r="D36" s="0" t="s">
        <v>69</v>
      </c>
      <c r="E36" s="98" t="n">
        <v>206</v>
      </c>
    </row>
    <row r="37" customFormat="false" ht="15" hidden="false" customHeight="false" outlineLevel="0" collapsed="false">
      <c r="B37" s="91" t="s">
        <v>65</v>
      </c>
      <c r="D37" s="0" t="s">
        <v>66</v>
      </c>
      <c r="E37" s="93" t="n">
        <v>335</v>
      </c>
    </row>
    <row r="38" customFormat="false" ht="15" hidden="false" customHeight="false" outlineLevel="0" collapsed="false">
      <c r="B38" s="91" t="s">
        <v>82</v>
      </c>
      <c r="C38" s="0" t="s">
        <v>83</v>
      </c>
      <c r="D38" s="0" t="s">
        <v>63</v>
      </c>
      <c r="E38" s="98" t="n">
        <f aca="false">(E36*E37)/1000</f>
        <v>69.01</v>
      </c>
    </row>
    <row r="39" customFormat="false" ht="15" hidden="false" customHeight="false" outlineLevel="0" collapsed="false">
      <c r="B39" s="91"/>
      <c r="E39" s="93"/>
    </row>
    <row r="40" customFormat="false" ht="15" hidden="false" customHeight="false" outlineLevel="0" collapsed="false">
      <c r="B40" s="91" t="s">
        <v>84</v>
      </c>
      <c r="C40" s="0" t="s">
        <v>85</v>
      </c>
      <c r="D40" s="0" t="s">
        <v>40</v>
      </c>
      <c r="E40" s="98" t="n">
        <f aca="false">E38*E12</f>
        <v>100880.89</v>
      </c>
    </row>
    <row r="41" customFormat="false" ht="15" hidden="false" customHeight="false" outlineLevel="0" collapsed="false">
      <c r="B41" s="91" t="s">
        <v>86</v>
      </c>
      <c r="C41" s="0" t="s">
        <v>51</v>
      </c>
      <c r="D41" s="0" t="s">
        <v>40</v>
      </c>
      <c r="E41" s="93" t="n">
        <f aca="false">E9</f>
        <v>43978.42</v>
      </c>
    </row>
    <row r="42" customFormat="false" ht="15" hidden="false" customHeight="false" outlineLevel="0" collapsed="false">
      <c r="B42" s="91"/>
      <c r="E42" s="93"/>
    </row>
    <row r="43" customFormat="false" ht="15" hidden="false" customHeight="false" outlineLevel="0" collapsed="false">
      <c r="B43" s="91" t="s">
        <v>87</v>
      </c>
      <c r="C43" s="0" t="s">
        <v>88</v>
      </c>
      <c r="D43" s="0" t="s">
        <v>89</v>
      </c>
      <c r="E43" s="100" t="n">
        <f aca="false">E41/E40</f>
        <v>0.44</v>
      </c>
    </row>
    <row r="44" customFormat="false" ht="15" hidden="false" customHeight="false" outlineLevel="0" collapsed="false">
      <c r="B44" s="91"/>
      <c r="E44" s="93"/>
    </row>
    <row r="45" customFormat="false" ht="15" hidden="false" customHeight="false" outlineLevel="0" collapsed="false">
      <c r="B45" s="91" t="s">
        <v>73</v>
      </c>
      <c r="D45" s="0" t="s">
        <v>74</v>
      </c>
      <c r="E45" s="93" t="n">
        <v>839</v>
      </c>
    </row>
    <row r="46" customFormat="false" ht="15" hidden="false" customHeight="false" outlineLevel="0" collapsed="false">
      <c r="B46" s="94" t="s">
        <v>75</v>
      </c>
      <c r="C46" s="95"/>
      <c r="D46" s="95" t="s">
        <v>74</v>
      </c>
      <c r="E46" s="101" t="n">
        <f aca="false">E45*E36</f>
        <v>172834</v>
      </c>
    </row>
    <row r="48" customFormat="false" ht="15" hidden="false" customHeight="false" outlineLevel="0" collapsed="false">
      <c r="B48" s="102" t="s">
        <v>90</v>
      </c>
      <c r="C48" s="102"/>
      <c r="D48" s="102"/>
      <c r="E48" s="102"/>
    </row>
    <row r="50" customFormat="false" ht="15" hidden="false" customHeight="false" outlineLevel="0" collapsed="false">
      <c r="B50" s="0" t="s">
        <v>91</v>
      </c>
      <c r="D50" s="0" t="s">
        <v>63</v>
      </c>
      <c r="E50" s="103" t="n">
        <v>30</v>
      </c>
    </row>
    <row r="51" customFormat="false" ht="15" hidden="false" customHeight="false" outlineLevel="0" collapsed="false">
      <c r="D51" s="0" t="s">
        <v>92</v>
      </c>
      <c r="E51" s="93" t="n">
        <v>21339</v>
      </c>
    </row>
    <row r="53" customFormat="false" ht="15" hidden="false" customHeight="false" outlineLevel="0" collapsed="false">
      <c r="B53" s="102" t="s">
        <v>93</v>
      </c>
      <c r="C53" s="102"/>
      <c r="D53" s="102"/>
      <c r="E53" s="102"/>
    </row>
    <row r="55" customFormat="false" ht="15" hidden="false" customHeight="false" outlineLevel="0" collapsed="false">
      <c r="B55" s="0" t="s">
        <v>91</v>
      </c>
      <c r="D55" s="0" t="s">
        <v>63</v>
      </c>
      <c r="E55" s="103" t="n">
        <v>22.5</v>
      </c>
    </row>
    <row r="56" customFormat="false" ht="15" hidden="false" customHeight="false" outlineLevel="0" collapsed="false">
      <c r="D56" s="0" t="s">
        <v>92</v>
      </c>
      <c r="E56" s="93" t="n">
        <v>20989</v>
      </c>
    </row>
    <row r="58" customFormat="false" ht="15" hidden="false" customHeight="false" outlineLevel="0" collapsed="false">
      <c r="B58" s="102" t="s">
        <v>94</v>
      </c>
      <c r="C58" s="102"/>
      <c r="D58" s="102"/>
      <c r="E58" s="102"/>
    </row>
    <row r="60" customFormat="false" ht="15" hidden="false" customHeight="false" outlineLevel="0" collapsed="false">
      <c r="B60" s="0" t="s">
        <v>91</v>
      </c>
      <c r="D60" s="0" t="s">
        <v>63</v>
      </c>
      <c r="E60" s="103" t="n">
        <v>45</v>
      </c>
    </row>
    <row r="61" customFormat="false" ht="15" hidden="false" customHeight="false" outlineLevel="0" collapsed="false">
      <c r="D61" s="0" t="s">
        <v>92</v>
      </c>
      <c r="E61" s="93" t="n">
        <v>29229</v>
      </c>
    </row>
    <row r="63" customFormat="false" ht="15" hidden="false" customHeight="false" outlineLevel="0" collapsed="false">
      <c r="B63" s="88" t="s">
        <v>95</v>
      </c>
      <c r="C63" s="88"/>
      <c r="D63" s="88"/>
      <c r="E63" s="88"/>
    </row>
    <row r="64" customFormat="false" ht="15" hidden="false" customHeight="false" outlineLevel="0" collapsed="false">
      <c r="C64" s="2" t="s">
        <v>96</v>
      </c>
    </row>
    <row r="65" customFormat="false" ht="15" hidden="false" customHeight="false" outlineLevel="0" collapsed="false">
      <c r="B65" s="0" t="s">
        <v>97</v>
      </c>
      <c r="C65" s="2" t="n">
        <v>3</v>
      </c>
      <c r="D65" s="0" t="s">
        <v>63</v>
      </c>
      <c r="E65" s="89" t="n">
        <f aca="false">C65*E55</f>
        <v>67.5</v>
      </c>
    </row>
    <row r="66" customFormat="false" ht="15" hidden="false" customHeight="false" outlineLevel="0" collapsed="false">
      <c r="E66" s="18"/>
    </row>
    <row r="68" customFormat="false" ht="15" hidden="false" customHeight="false" outlineLevel="0" collapsed="false">
      <c r="B68" s="109" t="s">
        <v>65</v>
      </c>
      <c r="C68" s="110"/>
      <c r="D68" s="110" t="s">
        <v>66</v>
      </c>
      <c r="E68" s="111" t="n">
        <v>335</v>
      </c>
    </row>
    <row r="69" customFormat="false" ht="15" hidden="false" customHeight="false" outlineLevel="0" collapsed="false">
      <c r="B69" s="91" t="s">
        <v>67</v>
      </c>
      <c r="C69" s="0" t="s">
        <v>103</v>
      </c>
      <c r="D69" s="0" t="s">
        <v>69</v>
      </c>
      <c r="E69" s="98" t="n">
        <f aca="false">(E65/E68)*1000</f>
        <v>201.49</v>
      </c>
    </row>
    <row r="70" customFormat="false" ht="15" hidden="false" customHeight="false" outlineLevel="0" collapsed="false">
      <c r="B70" s="91" t="s">
        <v>81</v>
      </c>
      <c r="D70" s="0" t="s">
        <v>69</v>
      </c>
      <c r="E70" s="98" t="n">
        <v>201</v>
      </c>
    </row>
    <row r="71" customFormat="false" ht="15" hidden="false" customHeight="false" outlineLevel="0" collapsed="false">
      <c r="B71" s="91" t="s">
        <v>70</v>
      </c>
      <c r="D71" s="0" t="s">
        <v>47</v>
      </c>
      <c r="E71" s="93" t="n">
        <v>1.98</v>
      </c>
    </row>
    <row r="72" customFormat="false" ht="15" hidden="false" customHeight="false" outlineLevel="0" collapsed="false">
      <c r="B72" s="91" t="s">
        <v>99</v>
      </c>
      <c r="C72" s="0" t="s">
        <v>72</v>
      </c>
      <c r="D72" s="0" t="s">
        <v>47</v>
      </c>
      <c r="E72" s="98" t="n">
        <f aca="false">E71*E70</f>
        <v>397.98</v>
      </c>
    </row>
    <row r="73" customFormat="false" ht="15" hidden="false" customHeight="false" outlineLevel="0" collapsed="false">
      <c r="B73" s="91" t="s">
        <v>99</v>
      </c>
      <c r="D73" s="41" t="s">
        <v>89</v>
      </c>
      <c r="E73" s="100" t="n">
        <f aca="false">E72/E7</f>
        <v>0.78</v>
      </c>
    </row>
    <row r="74" customFormat="false" ht="15" hidden="false" customHeight="false" outlineLevel="0" collapsed="false">
      <c r="B74" s="91"/>
      <c r="D74" s="41"/>
      <c r="E74" s="100"/>
    </row>
    <row r="75" customFormat="false" ht="15" hidden="false" customHeight="false" outlineLevel="0" collapsed="false">
      <c r="B75" s="91" t="s">
        <v>82</v>
      </c>
      <c r="C75" s="0" t="s">
        <v>83</v>
      </c>
      <c r="D75" s="0" t="s">
        <v>63</v>
      </c>
      <c r="E75" s="93" t="n">
        <f aca="false">E70*E68/1000</f>
        <v>67.34</v>
      </c>
    </row>
    <row r="76" customFormat="false" ht="15" hidden="false" customHeight="false" outlineLevel="0" collapsed="false">
      <c r="B76" s="91" t="s">
        <v>84</v>
      </c>
      <c r="C76" s="0" t="s">
        <v>85</v>
      </c>
      <c r="D76" s="0" t="s">
        <v>40</v>
      </c>
      <c r="E76" s="98" t="n">
        <f aca="false">E75*E12</f>
        <v>98439.63</v>
      </c>
    </row>
    <row r="77" customFormat="false" ht="15" hidden="false" customHeight="false" outlineLevel="0" collapsed="false">
      <c r="B77" s="91" t="s">
        <v>86</v>
      </c>
      <c r="C77" s="0" t="s">
        <v>51</v>
      </c>
      <c r="D77" s="0" t="s">
        <v>40</v>
      </c>
      <c r="E77" s="93" t="n">
        <f aca="false">E9</f>
        <v>43978.42</v>
      </c>
    </row>
    <row r="78" customFormat="false" ht="15" hidden="false" customHeight="false" outlineLevel="0" collapsed="false">
      <c r="B78" s="91"/>
      <c r="E78" s="93"/>
    </row>
    <row r="79" customFormat="false" ht="15" hidden="false" customHeight="false" outlineLevel="0" collapsed="false">
      <c r="B79" s="91" t="s">
        <v>87</v>
      </c>
      <c r="C79" s="0" t="s">
        <v>88</v>
      </c>
      <c r="D79" s="0" t="s">
        <v>89</v>
      </c>
      <c r="E79" s="104" t="n">
        <f aca="false">E77/E76</f>
        <v>0.4468</v>
      </c>
      <c r="F79" s="112" t="n">
        <f aca="false">1-E79</f>
        <v>0.5532</v>
      </c>
    </row>
    <row r="80" customFormat="false" ht="15" hidden="false" customHeight="false" outlineLevel="0" collapsed="false">
      <c r="B80" s="91"/>
      <c r="E80" s="93"/>
    </row>
    <row r="81" customFormat="false" ht="15" hidden="false" customHeight="false" outlineLevel="0" collapsed="false">
      <c r="B81" s="91" t="s">
        <v>73</v>
      </c>
      <c r="D81" s="0" t="s">
        <v>74</v>
      </c>
      <c r="E81" s="93" t="n">
        <v>839</v>
      </c>
    </row>
    <row r="82" customFormat="false" ht="15" hidden="false" customHeight="false" outlineLevel="0" collapsed="false">
      <c r="B82" s="91" t="s">
        <v>75</v>
      </c>
      <c r="D82" s="0" t="s">
        <v>74</v>
      </c>
      <c r="E82" s="98" t="n">
        <f aca="false">E70*E81</f>
        <v>168639</v>
      </c>
    </row>
    <row r="83" customFormat="false" ht="15" hidden="false" customHeight="false" outlineLevel="0" collapsed="false">
      <c r="B83" s="91" t="s">
        <v>101</v>
      </c>
      <c r="D83" s="0" t="s">
        <v>74</v>
      </c>
      <c r="E83" s="98" t="n">
        <f aca="false">C65*E56</f>
        <v>62967</v>
      </c>
    </row>
    <row r="84" customFormat="false" ht="15" hidden="false" customHeight="false" outlineLevel="0" collapsed="false">
      <c r="B84" s="94" t="s">
        <v>102</v>
      </c>
      <c r="C84" s="95"/>
      <c r="D84" s="95" t="s">
        <v>74</v>
      </c>
      <c r="E84" s="101" t="n">
        <f aca="false">SUM(E82:E83)</f>
        <v>231606</v>
      </c>
    </row>
  </sheetData>
  <mergeCells count="7">
    <mergeCell ref="B5:E5"/>
    <mergeCell ref="B14:E14"/>
    <mergeCell ref="B27:E27"/>
    <mergeCell ref="B48:E48"/>
    <mergeCell ref="B53:E53"/>
    <mergeCell ref="B58:E58"/>
    <mergeCell ref="B63:E63"/>
  </mergeCells>
  <printOptions headings="false" gridLines="false" gridLinesSet="true" horizontalCentered="false" verticalCentered="false"/>
  <pageMargins left="0.511805555555555" right="0.511805555555555" top="1.18125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K8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34"/>
    <col collapsed="false" customWidth="true" hidden="false" outlineLevel="0" max="3" min="3" style="0" width="48.86"/>
    <col collapsed="false" customWidth="true" hidden="false" outlineLevel="0" max="4" min="4" style="0" width="12.42"/>
    <col collapsed="false" customWidth="true" hidden="false" outlineLevel="0" max="5" min="5" style="0" width="19.85"/>
    <col collapsed="false" customWidth="true" hidden="false" outlineLevel="0" max="10" min="6" style="0" width="9"/>
    <col collapsed="false" customWidth="true" hidden="false" outlineLevel="0" max="11" min="11" style="0" width="19.85"/>
    <col collapsed="false" customWidth="true" hidden="false" outlineLevel="0" max="64" min="12" style="0" width="9"/>
  </cols>
  <sheetData>
    <row r="5" customFormat="false" ht="15" hidden="false" customHeight="false" outlineLevel="0" collapsed="false">
      <c r="B5" s="83" t="s">
        <v>136</v>
      </c>
      <c r="C5" s="83"/>
      <c r="D5" s="83"/>
      <c r="E5" s="83"/>
    </row>
    <row r="6" customFormat="false" ht="15" hidden="false" customHeight="false" outlineLevel="0" collapsed="false">
      <c r="B6" s="0" t="s">
        <v>45</v>
      </c>
      <c r="C6" s="2" t="s">
        <v>35</v>
      </c>
      <c r="K6" s="84" t="str">
        <f aca="false">B5</f>
        <v>MINEIROS</v>
      </c>
    </row>
    <row r="7" customFormat="false" ht="15" hidden="false" customHeight="false" outlineLevel="0" collapsed="false">
      <c r="B7" s="0" t="s">
        <v>46</v>
      </c>
      <c r="D7" s="0" t="s">
        <v>47</v>
      </c>
      <c r="E7" s="18" t="n">
        <v>493.72</v>
      </c>
      <c r="J7" s="78" t="n">
        <v>43466</v>
      </c>
      <c r="K7" s="106" t="n">
        <v>1849.81</v>
      </c>
    </row>
    <row r="8" customFormat="false" ht="15" hidden="false" customHeight="false" outlineLevel="0" collapsed="false">
      <c r="B8" s="0" t="s">
        <v>48</v>
      </c>
      <c r="E8" s="18" t="s">
        <v>137</v>
      </c>
      <c r="J8" s="78" t="n">
        <v>43497</v>
      </c>
      <c r="K8" s="106" t="n">
        <v>2327.59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K20*12</f>
        <v>22734.2</v>
      </c>
      <c r="J9" s="78" t="n">
        <v>43525</v>
      </c>
      <c r="K9" s="106" t="n">
        <v>2052.99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5.16</v>
      </c>
      <c r="J10" s="78" t="n">
        <v>43556</v>
      </c>
      <c r="K10" s="106" t="n">
        <v>1933.68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</v>
      </c>
      <c r="J11" s="78" t="n">
        <v>43586</v>
      </c>
      <c r="K11" s="106" t="n">
        <v>1839.07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1318.38</v>
      </c>
      <c r="J12" s="78" t="n">
        <v>43617</v>
      </c>
      <c r="K12" s="106" t="n">
        <v>1550.02</v>
      </c>
    </row>
    <row r="13" customFormat="false" ht="15" hidden="false" customHeight="false" outlineLevel="0" collapsed="false">
      <c r="J13" s="78" t="n">
        <v>43647</v>
      </c>
      <c r="K13" s="106" t="n">
        <v>1227.45</v>
      </c>
    </row>
    <row r="14" customFormat="false" ht="15" hidden="false" customHeight="false" outlineLevel="0" collapsed="false">
      <c r="B14" s="88" t="s">
        <v>60</v>
      </c>
      <c r="C14" s="88"/>
      <c r="D14" s="88"/>
      <c r="E14" s="88"/>
      <c r="J14" s="78" t="n">
        <v>43678</v>
      </c>
      <c r="K14" s="106" t="n">
        <v>1576.01</v>
      </c>
    </row>
    <row r="15" customFormat="false" ht="15" hidden="false" customHeight="false" outlineLevel="0" collapsed="false">
      <c r="J15" s="78" t="n">
        <v>43709</v>
      </c>
      <c r="K15" s="106" t="n">
        <v>2534.84</v>
      </c>
    </row>
    <row r="16" customFormat="false" ht="15" hidden="false" customHeight="false" outlineLevel="0" collapsed="false">
      <c r="B16" s="0" t="s">
        <v>61</v>
      </c>
      <c r="C16" s="0" t="s">
        <v>62</v>
      </c>
      <c r="D16" s="0" t="s">
        <v>63</v>
      </c>
      <c r="E16" s="89" t="n">
        <f aca="false">E9/E12</f>
        <v>17.24</v>
      </c>
      <c r="J16" s="78" t="n">
        <v>43739</v>
      </c>
      <c r="K16" s="106" t="n">
        <v>2547.26</v>
      </c>
    </row>
    <row r="17" customFormat="false" ht="15" hidden="false" customHeight="false" outlineLevel="0" collapsed="false">
      <c r="J17" s="78" t="n">
        <v>43770</v>
      </c>
      <c r="K17" s="106" t="n">
        <v>1388.6</v>
      </c>
    </row>
    <row r="18" customFormat="false" ht="15" hidden="false" customHeight="false" outlineLevel="0" collapsed="false">
      <c r="B18" s="109" t="s">
        <v>65</v>
      </c>
      <c r="C18" s="110"/>
      <c r="D18" s="110" t="s">
        <v>66</v>
      </c>
      <c r="E18" s="111" t="n">
        <v>335</v>
      </c>
      <c r="J18" s="78" t="n">
        <v>43800</v>
      </c>
      <c r="K18" s="106" t="n">
        <v>1906.88</v>
      </c>
    </row>
    <row r="19" customFormat="false" ht="15" hidden="false" customHeight="false" outlineLevel="0" collapsed="false">
      <c r="B19" s="91" t="s">
        <v>67</v>
      </c>
      <c r="C19" s="0" t="s">
        <v>68</v>
      </c>
      <c r="D19" s="0" t="s">
        <v>69</v>
      </c>
      <c r="E19" s="93" t="n">
        <f aca="false">E16*1000/E18</f>
        <v>51.46</v>
      </c>
    </row>
    <row r="20" customFormat="false" ht="15" hidden="false" customHeight="false" outlineLevel="0" collapsed="false">
      <c r="B20" s="91" t="s">
        <v>70</v>
      </c>
      <c r="D20" s="0" t="s">
        <v>47</v>
      </c>
      <c r="E20" s="93" t="n">
        <v>1.98</v>
      </c>
      <c r="J20" s="0" t="s">
        <v>39</v>
      </c>
      <c r="K20" s="0" t="n">
        <f aca="false">(SUM(K7:K18))/12</f>
        <v>1894.51666666667</v>
      </c>
    </row>
    <row r="21" customFormat="false" ht="15" hidden="false" customHeight="false" outlineLevel="0" collapsed="false">
      <c r="B21" s="91" t="s">
        <v>71</v>
      </c>
      <c r="C21" s="0" t="s">
        <v>72</v>
      </c>
      <c r="D21" s="0" t="s">
        <v>47</v>
      </c>
      <c r="E21" s="93" t="n">
        <f aca="false">E19*E20</f>
        <v>101.89</v>
      </c>
    </row>
    <row r="22" customFormat="false" ht="15" hidden="false" customHeight="false" outlineLevel="0" collapsed="false">
      <c r="B22" s="91" t="s">
        <v>73</v>
      </c>
      <c r="D22" s="0" t="s">
        <v>74</v>
      </c>
      <c r="E22" s="93" t="n">
        <v>839</v>
      </c>
    </row>
    <row r="23" customFormat="false" ht="15" hidden="false" customHeight="false" outlineLevel="0" collapsed="false">
      <c r="B23" s="91"/>
      <c r="E23" s="97"/>
    </row>
    <row r="24" customFormat="false" ht="15" hidden="false" customHeight="false" outlineLevel="0" collapsed="false">
      <c r="B24" s="94" t="s">
        <v>75</v>
      </c>
      <c r="C24" s="95"/>
      <c r="D24" s="95" t="s">
        <v>74</v>
      </c>
      <c r="E24" s="96" t="n">
        <f aca="false">E22*E19</f>
        <v>43174.94</v>
      </c>
    </row>
    <row r="27" customFormat="false" ht="15" hidden="false" customHeight="false" outlineLevel="0" collapsed="false">
      <c r="B27" s="88" t="s">
        <v>77</v>
      </c>
      <c r="C27" s="88"/>
      <c r="D27" s="88"/>
      <c r="E27" s="88"/>
    </row>
    <row r="29" customFormat="false" ht="15" hidden="false" customHeight="false" outlineLevel="0" collapsed="false">
      <c r="B29" s="0" t="s">
        <v>78</v>
      </c>
      <c r="C29" s="0" t="s">
        <v>79</v>
      </c>
      <c r="D29" s="0" t="s">
        <v>47</v>
      </c>
      <c r="E29" s="89" t="n">
        <f aca="false">E7*0.8</f>
        <v>394.98</v>
      </c>
    </row>
    <row r="30" customFormat="false" ht="15" hidden="false" customHeight="false" outlineLevel="0" collapsed="false">
      <c r="E30" s="18"/>
    </row>
    <row r="31" customFormat="false" ht="15" hidden="false" customHeight="false" outlineLevel="0" collapsed="false">
      <c r="E31" s="18"/>
    </row>
    <row r="32" customFormat="false" ht="15" hidden="false" customHeight="false" outlineLevel="0" collapsed="false">
      <c r="E32" s="18"/>
    </row>
    <row r="33" customFormat="false" ht="15" hidden="false" customHeight="false" outlineLevel="0" collapsed="false">
      <c r="E33" s="18"/>
    </row>
    <row r="34" customFormat="false" ht="15" hidden="false" customHeight="false" outlineLevel="0" collapsed="false">
      <c r="B34" s="109" t="s">
        <v>70</v>
      </c>
      <c r="C34" s="110"/>
      <c r="D34" s="110" t="s">
        <v>47</v>
      </c>
      <c r="E34" s="111" t="n">
        <v>1.98</v>
      </c>
    </row>
    <row r="35" customFormat="false" ht="15" hidden="false" customHeight="false" outlineLevel="0" collapsed="false">
      <c r="B35" s="91" t="s">
        <v>67</v>
      </c>
      <c r="C35" s="0" t="s">
        <v>80</v>
      </c>
      <c r="D35" s="0" t="s">
        <v>69</v>
      </c>
      <c r="E35" s="98" t="n">
        <f aca="false">E29/E34</f>
        <v>199.48</v>
      </c>
    </row>
    <row r="36" customFormat="false" ht="15" hidden="false" customHeight="false" outlineLevel="0" collapsed="false">
      <c r="B36" s="91" t="s">
        <v>81</v>
      </c>
      <c r="D36" s="0" t="s">
        <v>69</v>
      </c>
      <c r="E36" s="98" t="n">
        <v>240</v>
      </c>
    </row>
    <row r="37" customFormat="false" ht="15" hidden="false" customHeight="false" outlineLevel="0" collapsed="false">
      <c r="B37" s="91" t="s">
        <v>65</v>
      </c>
      <c r="D37" s="0" t="s">
        <v>66</v>
      </c>
      <c r="E37" s="93" t="n">
        <v>335</v>
      </c>
    </row>
    <row r="38" customFormat="false" ht="15" hidden="false" customHeight="false" outlineLevel="0" collapsed="false">
      <c r="B38" s="91" t="s">
        <v>82</v>
      </c>
      <c r="C38" s="0" t="s">
        <v>83</v>
      </c>
      <c r="D38" s="0" t="s">
        <v>63</v>
      </c>
      <c r="E38" s="98" t="n">
        <f aca="false">(E36*E37)/1000</f>
        <v>80.4</v>
      </c>
    </row>
    <row r="39" customFormat="false" ht="15" hidden="false" customHeight="false" outlineLevel="0" collapsed="false">
      <c r="B39" s="91"/>
      <c r="E39" s="93"/>
    </row>
    <row r="40" customFormat="false" ht="15" hidden="false" customHeight="false" outlineLevel="0" collapsed="false">
      <c r="B40" s="91" t="s">
        <v>84</v>
      </c>
      <c r="C40" s="0" t="s">
        <v>85</v>
      </c>
      <c r="D40" s="0" t="s">
        <v>40</v>
      </c>
      <c r="E40" s="98" t="n">
        <f aca="false">E38*E12</f>
        <v>105997.75</v>
      </c>
    </row>
    <row r="41" customFormat="false" ht="15" hidden="false" customHeight="false" outlineLevel="0" collapsed="false">
      <c r="B41" s="91" t="s">
        <v>86</v>
      </c>
      <c r="C41" s="0" t="s">
        <v>51</v>
      </c>
      <c r="D41" s="0" t="s">
        <v>40</v>
      </c>
      <c r="E41" s="93" t="n">
        <f aca="false">E9</f>
        <v>22734.2</v>
      </c>
    </row>
    <row r="42" customFormat="false" ht="15" hidden="false" customHeight="false" outlineLevel="0" collapsed="false">
      <c r="B42" s="91"/>
      <c r="E42" s="93"/>
    </row>
    <row r="43" customFormat="false" ht="15" hidden="false" customHeight="false" outlineLevel="0" collapsed="false">
      <c r="B43" s="91" t="s">
        <v>87</v>
      </c>
      <c r="C43" s="0" t="s">
        <v>88</v>
      </c>
      <c r="D43" s="0" t="s">
        <v>89</v>
      </c>
      <c r="E43" s="100" t="n">
        <f aca="false">E41/E40</f>
        <v>0.21</v>
      </c>
    </row>
    <row r="44" customFormat="false" ht="15" hidden="false" customHeight="false" outlineLevel="0" collapsed="false">
      <c r="B44" s="91"/>
      <c r="E44" s="93"/>
    </row>
    <row r="45" customFormat="false" ht="15" hidden="false" customHeight="false" outlineLevel="0" collapsed="false">
      <c r="B45" s="91" t="s">
        <v>73</v>
      </c>
      <c r="D45" s="0" t="s">
        <v>74</v>
      </c>
      <c r="E45" s="93" t="n">
        <v>839</v>
      </c>
    </row>
    <row r="46" customFormat="false" ht="15" hidden="false" customHeight="false" outlineLevel="0" collapsed="false">
      <c r="B46" s="94" t="s">
        <v>75</v>
      </c>
      <c r="C46" s="95"/>
      <c r="D46" s="95" t="s">
        <v>74</v>
      </c>
      <c r="E46" s="101" t="n">
        <f aca="false">E45*E36</f>
        <v>201360</v>
      </c>
    </row>
    <row r="48" customFormat="false" ht="15" hidden="false" customHeight="false" outlineLevel="0" collapsed="false">
      <c r="B48" s="102" t="s">
        <v>90</v>
      </c>
      <c r="C48" s="102"/>
      <c r="D48" s="102"/>
      <c r="E48" s="102"/>
    </row>
    <row r="50" customFormat="false" ht="15" hidden="false" customHeight="false" outlineLevel="0" collapsed="false">
      <c r="B50" s="0" t="s">
        <v>91</v>
      </c>
      <c r="D50" s="0" t="s">
        <v>63</v>
      </c>
      <c r="E50" s="103" t="n">
        <v>30</v>
      </c>
    </row>
    <row r="51" customFormat="false" ht="15" hidden="false" customHeight="false" outlineLevel="0" collapsed="false">
      <c r="D51" s="0" t="s">
        <v>92</v>
      </c>
      <c r="E51" s="93" t="n">
        <v>21339</v>
      </c>
    </row>
    <row r="53" customFormat="false" ht="15" hidden="false" customHeight="false" outlineLevel="0" collapsed="false">
      <c r="B53" s="102" t="s">
        <v>93</v>
      </c>
      <c r="C53" s="102"/>
      <c r="D53" s="102"/>
      <c r="E53" s="102"/>
    </row>
    <row r="55" customFormat="false" ht="15" hidden="false" customHeight="false" outlineLevel="0" collapsed="false">
      <c r="B55" s="0" t="s">
        <v>91</v>
      </c>
      <c r="D55" s="0" t="s">
        <v>63</v>
      </c>
      <c r="E55" s="103" t="n">
        <v>22.5</v>
      </c>
    </row>
    <row r="56" customFormat="false" ht="15" hidden="false" customHeight="false" outlineLevel="0" collapsed="false">
      <c r="D56" s="0" t="s">
        <v>92</v>
      </c>
      <c r="E56" s="93" t="n">
        <v>20989</v>
      </c>
    </row>
    <row r="58" customFormat="false" ht="15" hidden="false" customHeight="false" outlineLevel="0" collapsed="false">
      <c r="B58" s="102" t="s">
        <v>94</v>
      </c>
      <c r="C58" s="102"/>
      <c r="D58" s="102"/>
      <c r="E58" s="102"/>
    </row>
    <row r="60" customFormat="false" ht="15" hidden="false" customHeight="false" outlineLevel="0" collapsed="false">
      <c r="B60" s="0" t="s">
        <v>91</v>
      </c>
      <c r="D60" s="0" t="s">
        <v>63</v>
      </c>
      <c r="E60" s="103" t="n">
        <v>45</v>
      </c>
    </row>
    <row r="61" customFormat="false" ht="15" hidden="false" customHeight="false" outlineLevel="0" collapsed="false">
      <c r="D61" s="0" t="s">
        <v>92</v>
      </c>
      <c r="E61" s="93" t="n">
        <v>29229</v>
      </c>
    </row>
    <row r="63" customFormat="false" ht="15" hidden="false" customHeight="false" outlineLevel="0" collapsed="false">
      <c r="B63" s="88" t="s">
        <v>95</v>
      </c>
      <c r="C63" s="88"/>
      <c r="D63" s="88"/>
      <c r="E63" s="88"/>
    </row>
    <row r="64" customFormat="false" ht="15" hidden="false" customHeight="false" outlineLevel="0" collapsed="false">
      <c r="C64" s="2" t="s">
        <v>96</v>
      </c>
    </row>
    <row r="65" customFormat="false" ht="15" hidden="false" customHeight="false" outlineLevel="0" collapsed="false">
      <c r="B65" s="0" t="s">
        <v>97</v>
      </c>
      <c r="C65" s="2" t="n">
        <v>3</v>
      </c>
      <c r="D65" s="0" t="s">
        <v>63</v>
      </c>
      <c r="E65" s="89" t="n">
        <f aca="false">C65*E55</f>
        <v>67.5</v>
      </c>
    </row>
    <row r="66" customFormat="false" ht="15" hidden="false" customHeight="false" outlineLevel="0" collapsed="false">
      <c r="E66" s="18"/>
    </row>
    <row r="68" customFormat="false" ht="15" hidden="false" customHeight="false" outlineLevel="0" collapsed="false">
      <c r="B68" s="109" t="s">
        <v>65</v>
      </c>
      <c r="C68" s="110"/>
      <c r="D68" s="110" t="s">
        <v>66</v>
      </c>
      <c r="E68" s="111" t="n">
        <v>335</v>
      </c>
    </row>
    <row r="69" customFormat="false" ht="15" hidden="false" customHeight="false" outlineLevel="0" collapsed="false">
      <c r="B69" s="91" t="s">
        <v>67</v>
      </c>
      <c r="C69" s="0" t="s">
        <v>103</v>
      </c>
      <c r="D69" s="0" t="s">
        <v>69</v>
      </c>
      <c r="E69" s="98" t="n">
        <f aca="false">(E65/E68)*1000</f>
        <v>201.49</v>
      </c>
    </row>
    <row r="70" customFormat="false" ht="15" hidden="false" customHeight="false" outlineLevel="0" collapsed="false">
      <c r="B70" s="91" t="s">
        <v>81</v>
      </c>
      <c r="D70" s="0" t="s">
        <v>69</v>
      </c>
      <c r="E70" s="98" t="n">
        <v>201</v>
      </c>
    </row>
    <row r="71" customFormat="false" ht="15" hidden="false" customHeight="false" outlineLevel="0" collapsed="false">
      <c r="B71" s="91" t="s">
        <v>70</v>
      </c>
      <c r="D71" s="0" t="s">
        <v>47</v>
      </c>
      <c r="E71" s="93" t="n">
        <v>1.98</v>
      </c>
    </row>
    <row r="72" customFormat="false" ht="15" hidden="false" customHeight="false" outlineLevel="0" collapsed="false">
      <c r="B72" s="91" t="s">
        <v>99</v>
      </c>
      <c r="C72" s="0" t="s">
        <v>72</v>
      </c>
      <c r="D72" s="0" t="s">
        <v>47</v>
      </c>
      <c r="E72" s="98" t="n">
        <f aca="false">E71*E70</f>
        <v>397.98</v>
      </c>
    </row>
    <row r="73" customFormat="false" ht="15" hidden="false" customHeight="false" outlineLevel="0" collapsed="false">
      <c r="B73" s="91" t="s">
        <v>99</v>
      </c>
      <c r="D73" s="41" t="s">
        <v>89</v>
      </c>
      <c r="E73" s="100" t="n">
        <f aca="false">E72/E7</f>
        <v>0.81</v>
      </c>
    </row>
    <row r="74" customFormat="false" ht="15" hidden="false" customHeight="false" outlineLevel="0" collapsed="false">
      <c r="B74" s="91"/>
      <c r="D74" s="41"/>
      <c r="E74" s="100"/>
    </row>
    <row r="75" customFormat="false" ht="15" hidden="false" customHeight="false" outlineLevel="0" collapsed="false">
      <c r="B75" s="91" t="s">
        <v>82</v>
      </c>
      <c r="C75" s="0" t="s">
        <v>83</v>
      </c>
      <c r="D75" s="0" t="s">
        <v>63</v>
      </c>
      <c r="E75" s="93" t="n">
        <f aca="false">E70*E68/1000</f>
        <v>67.34</v>
      </c>
    </row>
    <row r="76" customFormat="false" ht="15" hidden="false" customHeight="false" outlineLevel="0" collapsed="false">
      <c r="B76" s="91" t="s">
        <v>84</v>
      </c>
      <c r="C76" s="0" t="s">
        <v>85</v>
      </c>
      <c r="D76" s="0" t="s">
        <v>40</v>
      </c>
      <c r="E76" s="98" t="n">
        <f aca="false">E75*E12</f>
        <v>88779.71</v>
      </c>
    </row>
    <row r="77" customFormat="false" ht="15" hidden="false" customHeight="false" outlineLevel="0" collapsed="false">
      <c r="B77" s="91" t="s">
        <v>86</v>
      </c>
      <c r="C77" s="0" t="s">
        <v>51</v>
      </c>
      <c r="D77" s="0" t="s">
        <v>40</v>
      </c>
      <c r="E77" s="93" t="n">
        <f aca="false">E9</f>
        <v>22734.2</v>
      </c>
    </row>
    <row r="78" customFormat="false" ht="15" hidden="false" customHeight="false" outlineLevel="0" collapsed="false">
      <c r="B78" s="91"/>
      <c r="E78" s="93"/>
    </row>
    <row r="79" customFormat="false" ht="15" hidden="false" customHeight="false" outlineLevel="0" collapsed="false">
      <c r="B79" s="91" t="s">
        <v>87</v>
      </c>
      <c r="C79" s="0" t="s">
        <v>88</v>
      </c>
      <c r="D79" s="0" t="s">
        <v>89</v>
      </c>
      <c r="E79" s="104" t="n">
        <f aca="false">E77/E76</f>
        <v>0.2561</v>
      </c>
      <c r="F79" s="112" t="n">
        <f aca="false">1-E79</f>
        <v>0.7439</v>
      </c>
    </row>
    <row r="80" customFormat="false" ht="15" hidden="false" customHeight="false" outlineLevel="0" collapsed="false">
      <c r="B80" s="91"/>
      <c r="E80" s="93"/>
    </row>
    <row r="81" customFormat="false" ht="15" hidden="false" customHeight="false" outlineLevel="0" collapsed="false">
      <c r="B81" s="91" t="s">
        <v>73</v>
      </c>
      <c r="D81" s="0" t="s">
        <v>74</v>
      </c>
      <c r="E81" s="93" t="n">
        <v>839</v>
      </c>
    </row>
    <row r="82" customFormat="false" ht="15" hidden="false" customHeight="false" outlineLevel="0" collapsed="false">
      <c r="B82" s="91" t="s">
        <v>75</v>
      </c>
      <c r="D82" s="0" t="s">
        <v>74</v>
      </c>
      <c r="E82" s="98" t="n">
        <f aca="false">E70*E81</f>
        <v>168639</v>
      </c>
    </row>
    <row r="83" customFormat="false" ht="15" hidden="false" customHeight="false" outlineLevel="0" collapsed="false">
      <c r="B83" s="91" t="s">
        <v>101</v>
      </c>
      <c r="D83" s="0" t="s">
        <v>74</v>
      </c>
      <c r="E83" s="98" t="n">
        <f aca="false">C65*E56</f>
        <v>62967</v>
      </c>
    </row>
    <row r="84" customFormat="false" ht="15" hidden="false" customHeight="false" outlineLevel="0" collapsed="false">
      <c r="B84" s="94" t="s">
        <v>102</v>
      </c>
      <c r="C84" s="95"/>
      <c r="D84" s="95" t="s">
        <v>74</v>
      </c>
      <c r="E84" s="101" t="n">
        <f aca="false">SUM(E82:E83)</f>
        <v>231606</v>
      </c>
    </row>
  </sheetData>
  <mergeCells count="7">
    <mergeCell ref="B5:E5"/>
    <mergeCell ref="B14:E14"/>
    <mergeCell ref="B27:E27"/>
    <mergeCell ref="B48:E48"/>
    <mergeCell ref="B53:E53"/>
    <mergeCell ref="B58:E58"/>
    <mergeCell ref="B63:E63"/>
  </mergeCells>
  <printOptions headings="false" gridLines="false" gridLinesSet="true" horizontalCentered="false" verticalCentered="false"/>
  <pageMargins left="0.511805555555555" right="0.511805555555555" top="1.18125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L84"/>
  <sheetViews>
    <sheetView showFormulas="false" showGridLines="true" showRowColHeaders="true" showZeros="true" rightToLeft="false" tabSelected="false" showOutlineSymbols="true" defaultGridColor="true" view="normal" topLeftCell="D1" colorId="64" zoomScale="100" zoomScaleNormal="100" zoomScalePageLayoutView="100" workbookViewId="0">
      <selection pane="topLeft" activeCell="K7" activeCellId="0" sqref="K7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34"/>
    <col collapsed="false" customWidth="true" hidden="false" outlineLevel="0" max="3" min="3" style="0" width="48.86"/>
    <col collapsed="false" customWidth="true" hidden="false" outlineLevel="0" max="4" min="4" style="0" width="12.42"/>
    <col collapsed="false" customWidth="true" hidden="false" outlineLevel="0" max="5" min="5" style="0" width="19.42"/>
    <col collapsed="false" customWidth="true" hidden="false" outlineLevel="0" max="10" min="6" style="0" width="9"/>
    <col collapsed="false" customWidth="true" hidden="false" outlineLevel="0" max="11" min="11" style="0" width="19.85"/>
    <col collapsed="false" customWidth="true" hidden="false" outlineLevel="0" max="64" min="12" style="0" width="9"/>
  </cols>
  <sheetData>
    <row r="5" customFormat="false" ht="15" hidden="false" customHeight="false" outlineLevel="0" collapsed="false">
      <c r="B5" s="83" t="s">
        <v>138</v>
      </c>
      <c r="C5" s="83"/>
      <c r="D5" s="83"/>
      <c r="E5" s="83"/>
    </row>
    <row r="6" customFormat="false" ht="30" hidden="false" customHeight="false" outlineLevel="0" collapsed="false">
      <c r="B6" s="0" t="s">
        <v>45</v>
      </c>
      <c r="C6" s="2" t="s">
        <v>24</v>
      </c>
      <c r="K6" s="84" t="str">
        <f aca="false">B5</f>
        <v>PALMEIRAS_DE_GOIÁS</v>
      </c>
    </row>
    <row r="7" customFormat="false" ht="15" hidden="false" customHeight="false" outlineLevel="0" collapsed="false">
      <c r="B7" s="0" t="s">
        <v>46</v>
      </c>
      <c r="D7" s="0" t="s">
        <v>47</v>
      </c>
      <c r="E7" s="18" t="n">
        <v>396.4</v>
      </c>
      <c r="J7" s="78" t="n">
        <v>43466</v>
      </c>
      <c r="K7" s="106" t="n">
        <v>1784</v>
      </c>
      <c r="L7" s="0" t="n">
        <v>21410</v>
      </c>
    </row>
    <row r="8" customFormat="false" ht="15" hidden="false" customHeight="false" outlineLevel="0" collapsed="false">
      <c r="B8" s="0" t="s">
        <v>48</v>
      </c>
      <c r="E8" s="18" t="s">
        <v>139</v>
      </c>
      <c r="J8" s="78" t="n">
        <v>43497</v>
      </c>
      <c r="K8" s="106" t="n">
        <v>2704</v>
      </c>
      <c r="L8" s="0" t="n">
        <v>2704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K20*12</f>
        <v>31221.33</v>
      </c>
      <c r="J9" s="78" t="n">
        <v>43525</v>
      </c>
      <c r="K9" s="106" t="n">
        <v>2515</v>
      </c>
      <c r="L9" s="0" t="n">
        <v>2515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5.27</v>
      </c>
      <c r="J10" s="78" t="n">
        <v>43556</v>
      </c>
      <c r="K10" s="106" t="n">
        <v>2654</v>
      </c>
      <c r="L10" s="0" t="n">
        <v>2654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0.75</v>
      </c>
      <c r="J11" s="78" t="n">
        <v>43586</v>
      </c>
      <c r="K11" s="106" t="n">
        <v>2610</v>
      </c>
      <c r="L11" s="0" t="n">
        <v>2610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1442.66</v>
      </c>
      <c r="J12" s="78" t="n">
        <v>43617</v>
      </c>
      <c r="K12" s="106" t="n">
        <v>2145</v>
      </c>
      <c r="L12" s="0" t="n">
        <v>2145</v>
      </c>
    </row>
    <row r="13" customFormat="false" ht="15" hidden="false" customHeight="false" outlineLevel="0" collapsed="false">
      <c r="J13" s="78" t="n">
        <v>43647</v>
      </c>
      <c r="K13" s="106" t="n">
        <v>1547</v>
      </c>
      <c r="L13" s="0" t="n">
        <v>1547</v>
      </c>
    </row>
    <row r="14" customFormat="false" ht="15" hidden="false" customHeight="false" outlineLevel="0" collapsed="false">
      <c r="B14" s="88" t="s">
        <v>60</v>
      </c>
      <c r="C14" s="88"/>
      <c r="D14" s="88"/>
      <c r="E14" s="88"/>
      <c r="J14" s="78" t="n">
        <v>43678</v>
      </c>
      <c r="K14" s="106" t="n">
        <v>2105</v>
      </c>
      <c r="L14" s="0" t="n">
        <v>2105</v>
      </c>
    </row>
    <row r="15" customFormat="false" ht="15" hidden="false" customHeight="false" outlineLevel="0" collapsed="false">
      <c r="J15" s="78" t="n">
        <v>43709</v>
      </c>
      <c r="K15" s="106" t="n">
        <v>3287</v>
      </c>
      <c r="L15" s="0" t="n">
        <v>3287</v>
      </c>
    </row>
    <row r="16" customFormat="false" ht="15" hidden="false" customHeight="false" outlineLevel="0" collapsed="false">
      <c r="B16" s="0" t="s">
        <v>61</v>
      </c>
      <c r="C16" s="0" t="s">
        <v>62</v>
      </c>
      <c r="D16" s="0" t="s">
        <v>63</v>
      </c>
      <c r="E16" s="89" t="n">
        <f aca="false">E9/E12</f>
        <v>21.64</v>
      </c>
      <c r="J16" s="78" t="n">
        <v>43739</v>
      </c>
      <c r="K16" s="106" t="n">
        <v>3207</v>
      </c>
      <c r="L16" s="0" t="n">
        <v>3207</v>
      </c>
    </row>
    <row r="17" customFormat="false" ht="15" hidden="false" customHeight="false" outlineLevel="0" collapsed="false">
      <c r="J17" s="78" t="n">
        <v>43770</v>
      </c>
      <c r="K17" s="106" t="n">
        <v>2752</v>
      </c>
      <c r="L17" s="0" t="n">
        <v>2752</v>
      </c>
    </row>
    <row r="18" customFormat="false" ht="15" hidden="false" customHeight="false" outlineLevel="0" collapsed="false">
      <c r="B18" s="109" t="s">
        <v>65</v>
      </c>
      <c r="C18" s="110"/>
      <c r="D18" s="110" t="s">
        <v>66</v>
      </c>
      <c r="E18" s="111" t="n">
        <v>335</v>
      </c>
      <c r="J18" s="78" t="n">
        <v>43800</v>
      </c>
      <c r="K18" s="106" t="n">
        <v>3911.33</v>
      </c>
      <c r="L18" s="0" t="n">
        <v>3911.33</v>
      </c>
    </row>
    <row r="19" customFormat="false" ht="15" hidden="false" customHeight="false" outlineLevel="0" collapsed="false">
      <c r="B19" s="91" t="s">
        <v>67</v>
      </c>
      <c r="C19" s="0" t="s">
        <v>68</v>
      </c>
      <c r="D19" s="0" t="s">
        <v>69</v>
      </c>
      <c r="E19" s="93" t="n">
        <f aca="false">E16*1000/E18</f>
        <v>64.6</v>
      </c>
      <c r="K19" s="31" t="n">
        <f aca="false">SUM(K7:K18)</f>
        <v>31221</v>
      </c>
      <c r="L19" s="31" t="n">
        <f aca="false">SUM(L7:L18)</f>
        <v>50847</v>
      </c>
    </row>
    <row r="20" customFormat="false" ht="15" hidden="false" customHeight="false" outlineLevel="0" collapsed="false">
      <c r="B20" s="91" t="s">
        <v>70</v>
      </c>
      <c r="D20" s="0" t="s">
        <v>47</v>
      </c>
      <c r="E20" s="93" t="n">
        <v>1.98</v>
      </c>
      <c r="J20" s="0" t="s">
        <v>39</v>
      </c>
      <c r="K20" s="0" t="n">
        <f aca="false">(SUM(K7:K18))/12</f>
        <v>2601.7775</v>
      </c>
    </row>
    <row r="21" customFormat="false" ht="15" hidden="false" customHeight="false" outlineLevel="0" collapsed="false">
      <c r="B21" s="91" t="s">
        <v>71</v>
      </c>
      <c r="C21" s="0" t="s">
        <v>72</v>
      </c>
      <c r="D21" s="0" t="s">
        <v>47</v>
      </c>
      <c r="E21" s="93" t="n">
        <f aca="false">E19*E20</f>
        <v>127.91</v>
      </c>
    </row>
    <row r="22" customFormat="false" ht="15" hidden="false" customHeight="false" outlineLevel="0" collapsed="false">
      <c r="B22" s="91" t="s">
        <v>73</v>
      </c>
      <c r="D22" s="0" t="s">
        <v>74</v>
      </c>
      <c r="E22" s="93" t="n">
        <v>839</v>
      </c>
    </row>
    <row r="23" customFormat="false" ht="15" hidden="false" customHeight="false" outlineLevel="0" collapsed="false">
      <c r="B23" s="91"/>
      <c r="E23" s="97"/>
    </row>
    <row r="24" customFormat="false" ht="15" hidden="false" customHeight="false" outlineLevel="0" collapsed="false">
      <c r="B24" s="94" t="s">
        <v>75</v>
      </c>
      <c r="C24" s="95"/>
      <c r="D24" s="95" t="s">
        <v>74</v>
      </c>
      <c r="E24" s="96" t="n">
        <f aca="false">E22*E19</f>
        <v>54199.4</v>
      </c>
    </row>
    <row r="27" customFormat="false" ht="15" hidden="false" customHeight="false" outlineLevel="0" collapsed="false">
      <c r="B27" s="88" t="s">
        <v>77</v>
      </c>
      <c r="C27" s="88"/>
      <c r="D27" s="88"/>
      <c r="E27" s="88"/>
    </row>
    <row r="29" customFormat="false" ht="15" hidden="false" customHeight="false" outlineLevel="0" collapsed="false">
      <c r="B29" s="0" t="s">
        <v>78</v>
      </c>
      <c r="C29" s="0" t="s">
        <v>79</v>
      </c>
      <c r="D29" s="0" t="s">
        <v>47</v>
      </c>
      <c r="E29" s="89" t="n">
        <f aca="false">E7*0.8</f>
        <v>317.12</v>
      </c>
    </row>
    <row r="30" customFormat="false" ht="15" hidden="false" customHeight="false" outlineLevel="0" collapsed="false">
      <c r="E30" s="18"/>
    </row>
    <row r="31" customFormat="false" ht="15" hidden="false" customHeight="false" outlineLevel="0" collapsed="false">
      <c r="E31" s="18"/>
    </row>
    <row r="32" customFormat="false" ht="15" hidden="false" customHeight="false" outlineLevel="0" collapsed="false">
      <c r="E32" s="18"/>
    </row>
    <row r="33" customFormat="false" ht="15" hidden="false" customHeight="false" outlineLevel="0" collapsed="false">
      <c r="E33" s="18"/>
    </row>
    <row r="34" customFormat="false" ht="15" hidden="false" customHeight="false" outlineLevel="0" collapsed="false">
      <c r="B34" s="109" t="s">
        <v>70</v>
      </c>
      <c r="C34" s="110"/>
      <c r="D34" s="110" t="s">
        <v>47</v>
      </c>
      <c r="E34" s="111" t="n">
        <v>1.98</v>
      </c>
    </row>
    <row r="35" customFormat="false" ht="15" hidden="false" customHeight="false" outlineLevel="0" collapsed="false">
      <c r="B35" s="91" t="s">
        <v>67</v>
      </c>
      <c r="C35" s="0" t="s">
        <v>80</v>
      </c>
      <c r="D35" s="0" t="s">
        <v>69</v>
      </c>
      <c r="E35" s="98" t="n">
        <f aca="false">E29/E34</f>
        <v>160.16</v>
      </c>
    </row>
    <row r="36" customFormat="false" ht="15" hidden="false" customHeight="false" outlineLevel="0" collapsed="false">
      <c r="B36" s="91" t="s">
        <v>81</v>
      </c>
      <c r="D36" s="0" t="s">
        <v>69</v>
      </c>
      <c r="E36" s="98" t="n">
        <v>160</v>
      </c>
    </row>
    <row r="37" customFormat="false" ht="15" hidden="false" customHeight="false" outlineLevel="0" collapsed="false">
      <c r="B37" s="91" t="s">
        <v>65</v>
      </c>
      <c r="D37" s="0" t="s">
        <v>66</v>
      </c>
      <c r="E37" s="93" t="n">
        <v>335</v>
      </c>
    </row>
    <row r="38" customFormat="false" ht="15" hidden="false" customHeight="false" outlineLevel="0" collapsed="false">
      <c r="B38" s="91" t="s">
        <v>82</v>
      </c>
      <c r="C38" s="0" t="s">
        <v>83</v>
      </c>
      <c r="D38" s="0" t="s">
        <v>63</v>
      </c>
      <c r="E38" s="98" t="n">
        <f aca="false">(E36*E37)/1000</f>
        <v>53.6</v>
      </c>
    </row>
    <row r="39" customFormat="false" ht="15" hidden="false" customHeight="false" outlineLevel="0" collapsed="false">
      <c r="B39" s="91"/>
      <c r="E39" s="93"/>
    </row>
    <row r="40" customFormat="false" ht="15" hidden="false" customHeight="false" outlineLevel="0" collapsed="false">
      <c r="B40" s="91" t="s">
        <v>84</v>
      </c>
      <c r="C40" s="0" t="s">
        <v>85</v>
      </c>
      <c r="D40" s="0" t="s">
        <v>40</v>
      </c>
      <c r="E40" s="98" t="n">
        <f aca="false">E38*E12</f>
        <v>77326.58</v>
      </c>
    </row>
    <row r="41" customFormat="false" ht="15" hidden="false" customHeight="false" outlineLevel="0" collapsed="false">
      <c r="B41" s="91" t="s">
        <v>86</v>
      </c>
      <c r="C41" s="0" t="s">
        <v>51</v>
      </c>
      <c r="D41" s="0" t="s">
        <v>40</v>
      </c>
      <c r="E41" s="93" t="n">
        <f aca="false">E9</f>
        <v>31221.33</v>
      </c>
    </row>
    <row r="42" customFormat="false" ht="15" hidden="false" customHeight="false" outlineLevel="0" collapsed="false">
      <c r="B42" s="91"/>
      <c r="E42" s="93"/>
    </row>
    <row r="43" customFormat="false" ht="15" hidden="false" customHeight="false" outlineLevel="0" collapsed="false">
      <c r="B43" s="91" t="s">
        <v>87</v>
      </c>
      <c r="C43" s="0" t="s">
        <v>88</v>
      </c>
      <c r="D43" s="0" t="s">
        <v>89</v>
      </c>
      <c r="E43" s="100" t="n">
        <f aca="false">E41/E40</f>
        <v>0.4</v>
      </c>
    </row>
    <row r="44" customFormat="false" ht="15" hidden="false" customHeight="false" outlineLevel="0" collapsed="false">
      <c r="B44" s="91"/>
      <c r="E44" s="93"/>
    </row>
    <row r="45" customFormat="false" ht="15" hidden="false" customHeight="false" outlineLevel="0" collapsed="false">
      <c r="B45" s="91" t="s">
        <v>73</v>
      </c>
      <c r="D45" s="0" t="s">
        <v>74</v>
      </c>
      <c r="E45" s="93" t="n">
        <v>839</v>
      </c>
    </row>
    <row r="46" customFormat="false" ht="15" hidden="false" customHeight="false" outlineLevel="0" collapsed="false">
      <c r="B46" s="94" t="s">
        <v>75</v>
      </c>
      <c r="C46" s="95"/>
      <c r="D46" s="95" t="s">
        <v>74</v>
      </c>
      <c r="E46" s="101" t="n">
        <f aca="false">E45*E36</f>
        <v>134240</v>
      </c>
    </row>
    <row r="48" customFormat="false" ht="15" hidden="false" customHeight="false" outlineLevel="0" collapsed="false">
      <c r="B48" s="102" t="s">
        <v>90</v>
      </c>
      <c r="C48" s="102"/>
      <c r="D48" s="102"/>
      <c r="E48" s="102"/>
    </row>
    <row r="50" customFormat="false" ht="15" hidden="false" customHeight="false" outlineLevel="0" collapsed="false">
      <c r="B50" s="0" t="s">
        <v>91</v>
      </c>
      <c r="D50" s="0" t="s">
        <v>63</v>
      </c>
      <c r="E50" s="103" t="n">
        <v>30</v>
      </c>
    </row>
    <row r="51" customFormat="false" ht="15" hidden="false" customHeight="false" outlineLevel="0" collapsed="false">
      <c r="D51" s="0" t="s">
        <v>92</v>
      </c>
      <c r="E51" s="93" t="n">
        <v>21339</v>
      </c>
    </row>
    <row r="53" customFormat="false" ht="15" hidden="false" customHeight="false" outlineLevel="0" collapsed="false">
      <c r="B53" s="102" t="s">
        <v>93</v>
      </c>
      <c r="C53" s="102"/>
      <c r="D53" s="102"/>
      <c r="E53" s="102"/>
    </row>
    <row r="55" customFormat="false" ht="15" hidden="false" customHeight="false" outlineLevel="0" collapsed="false">
      <c r="B55" s="0" t="s">
        <v>91</v>
      </c>
      <c r="D55" s="0" t="s">
        <v>63</v>
      </c>
      <c r="E55" s="103" t="n">
        <v>22.5</v>
      </c>
    </row>
    <row r="56" customFormat="false" ht="15" hidden="false" customHeight="false" outlineLevel="0" collapsed="false">
      <c r="D56" s="0" t="s">
        <v>92</v>
      </c>
      <c r="E56" s="93" t="n">
        <v>20989</v>
      </c>
    </row>
    <row r="58" customFormat="false" ht="15" hidden="false" customHeight="false" outlineLevel="0" collapsed="false">
      <c r="B58" s="102" t="s">
        <v>94</v>
      </c>
      <c r="C58" s="102"/>
      <c r="D58" s="102"/>
      <c r="E58" s="102"/>
    </row>
    <row r="60" customFormat="false" ht="15" hidden="false" customHeight="false" outlineLevel="0" collapsed="false">
      <c r="B60" s="0" t="s">
        <v>91</v>
      </c>
      <c r="D60" s="0" t="s">
        <v>63</v>
      </c>
      <c r="E60" s="103" t="n">
        <v>45</v>
      </c>
    </row>
    <row r="61" customFormat="false" ht="15" hidden="false" customHeight="false" outlineLevel="0" collapsed="false">
      <c r="D61" s="0" t="s">
        <v>92</v>
      </c>
      <c r="E61" s="93" t="n">
        <v>29229</v>
      </c>
    </row>
    <row r="63" customFormat="false" ht="15" hidden="false" customHeight="false" outlineLevel="0" collapsed="false">
      <c r="B63" s="88" t="s">
        <v>95</v>
      </c>
      <c r="C63" s="88"/>
      <c r="D63" s="88"/>
      <c r="E63" s="88"/>
    </row>
    <row r="64" customFormat="false" ht="15" hidden="false" customHeight="false" outlineLevel="0" collapsed="false">
      <c r="C64" s="2" t="s">
        <v>96</v>
      </c>
    </row>
    <row r="65" customFormat="false" ht="15" hidden="false" customHeight="false" outlineLevel="0" collapsed="false">
      <c r="B65" s="0" t="s">
        <v>97</v>
      </c>
      <c r="C65" s="2" t="n">
        <v>2</v>
      </c>
      <c r="D65" s="0" t="s">
        <v>63</v>
      </c>
      <c r="E65" s="89" t="n">
        <f aca="false">C65*E55</f>
        <v>45</v>
      </c>
    </row>
    <row r="66" customFormat="false" ht="15" hidden="false" customHeight="false" outlineLevel="0" collapsed="false">
      <c r="E66" s="18"/>
    </row>
    <row r="68" customFormat="false" ht="15" hidden="false" customHeight="false" outlineLevel="0" collapsed="false">
      <c r="B68" s="109" t="s">
        <v>65</v>
      </c>
      <c r="C68" s="110"/>
      <c r="D68" s="110" t="s">
        <v>66</v>
      </c>
      <c r="E68" s="111" t="n">
        <v>335</v>
      </c>
    </row>
    <row r="69" customFormat="false" ht="15" hidden="false" customHeight="false" outlineLevel="0" collapsed="false">
      <c r="B69" s="91" t="s">
        <v>67</v>
      </c>
      <c r="C69" s="0" t="s">
        <v>103</v>
      </c>
      <c r="D69" s="0" t="s">
        <v>69</v>
      </c>
      <c r="E69" s="98" t="n">
        <f aca="false">(E65/E68)*1000</f>
        <v>134.33</v>
      </c>
    </row>
    <row r="70" customFormat="false" ht="15" hidden="false" customHeight="false" outlineLevel="0" collapsed="false">
      <c r="B70" s="91" t="s">
        <v>81</v>
      </c>
      <c r="D70" s="0" t="s">
        <v>69</v>
      </c>
      <c r="E70" s="98" t="n">
        <v>134</v>
      </c>
    </row>
    <row r="71" customFormat="false" ht="15" hidden="false" customHeight="false" outlineLevel="0" collapsed="false">
      <c r="B71" s="91" t="s">
        <v>70</v>
      </c>
      <c r="D71" s="0" t="s">
        <v>47</v>
      </c>
      <c r="E71" s="93" t="n">
        <v>1.98</v>
      </c>
    </row>
    <row r="72" customFormat="false" ht="15" hidden="false" customHeight="false" outlineLevel="0" collapsed="false">
      <c r="B72" s="91" t="s">
        <v>99</v>
      </c>
      <c r="C72" s="0" t="s">
        <v>72</v>
      </c>
      <c r="D72" s="0" t="s">
        <v>47</v>
      </c>
      <c r="E72" s="98" t="n">
        <f aca="false">E71*E70</f>
        <v>265.32</v>
      </c>
    </row>
    <row r="73" customFormat="false" ht="15" hidden="false" customHeight="false" outlineLevel="0" collapsed="false">
      <c r="B73" s="91" t="s">
        <v>99</v>
      </c>
      <c r="D73" s="41" t="s">
        <v>89</v>
      </c>
      <c r="E73" s="100" t="n">
        <f aca="false">E72/E7</f>
        <v>0.67</v>
      </c>
    </row>
    <row r="74" customFormat="false" ht="15" hidden="false" customHeight="false" outlineLevel="0" collapsed="false">
      <c r="B74" s="91"/>
      <c r="D74" s="41"/>
      <c r="E74" s="100"/>
    </row>
    <row r="75" customFormat="false" ht="15" hidden="false" customHeight="false" outlineLevel="0" collapsed="false">
      <c r="B75" s="91" t="s">
        <v>82</v>
      </c>
      <c r="C75" s="0" t="s">
        <v>83</v>
      </c>
      <c r="D75" s="0" t="s">
        <v>63</v>
      </c>
      <c r="E75" s="93" t="n">
        <f aca="false">E70*E68/1000</f>
        <v>44.89</v>
      </c>
    </row>
    <row r="76" customFormat="false" ht="15" hidden="false" customHeight="false" outlineLevel="0" collapsed="false">
      <c r="B76" s="91" t="s">
        <v>84</v>
      </c>
      <c r="C76" s="0" t="s">
        <v>85</v>
      </c>
      <c r="D76" s="0" t="s">
        <v>40</v>
      </c>
      <c r="E76" s="98" t="n">
        <f aca="false">E75*E12</f>
        <v>64761.01</v>
      </c>
    </row>
    <row r="77" customFormat="false" ht="15" hidden="false" customHeight="false" outlineLevel="0" collapsed="false">
      <c r="B77" s="91" t="s">
        <v>86</v>
      </c>
      <c r="C77" s="0" t="s">
        <v>51</v>
      </c>
      <c r="D77" s="0" t="s">
        <v>40</v>
      </c>
      <c r="E77" s="93" t="n">
        <f aca="false">E9</f>
        <v>31221.33</v>
      </c>
    </row>
    <row r="78" customFormat="false" ht="15" hidden="false" customHeight="false" outlineLevel="0" collapsed="false">
      <c r="B78" s="91"/>
      <c r="E78" s="93"/>
    </row>
    <row r="79" customFormat="false" ht="15" hidden="false" customHeight="false" outlineLevel="0" collapsed="false">
      <c r="B79" s="91" t="s">
        <v>87</v>
      </c>
      <c r="C79" s="0" t="s">
        <v>88</v>
      </c>
      <c r="D79" s="0" t="s">
        <v>89</v>
      </c>
      <c r="E79" s="104" t="n">
        <f aca="false">E77/E76</f>
        <v>0.4821</v>
      </c>
      <c r="F79" s="112" t="n">
        <f aca="false">1-E79</f>
        <v>0.5179</v>
      </c>
    </row>
    <row r="80" customFormat="false" ht="15" hidden="false" customHeight="false" outlineLevel="0" collapsed="false">
      <c r="B80" s="91"/>
      <c r="E80" s="93"/>
    </row>
    <row r="81" customFormat="false" ht="15" hidden="false" customHeight="false" outlineLevel="0" collapsed="false">
      <c r="B81" s="91" t="s">
        <v>73</v>
      </c>
      <c r="D81" s="0" t="s">
        <v>74</v>
      </c>
      <c r="E81" s="93" t="n">
        <v>839</v>
      </c>
    </row>
    <row r="82" customFormat="false" ht="15" hidden="false" customHeight="false" outlineLevel="0" collapsed="false">
      <c r="B82" s="91" t="s">
        <v>75</v>
      </c>
      <c r="D82" s="0" t="s">
        <v>74</v>
      </c>
      <c r="E82" s="98" t="n">
        <f aca="false">E70*E81</f>
        <v>112426</v>
      </c>
    </row>
    <row r="83" customFormat="false" ht="15" hidden="false" customHeight="false" outlineLevel="0" collapsed="false">
      <c r="B83" s="91" t="s">
        <v>101</v>
      </c>
      <c r="D83" s="0" t="s">
        <v>74</v>
      </c>
      <c r="E83" s="98" t="n">
        <f aca="false">C65*E56</f>
        <v>41978</v>
      </c>
    </row>
    <row r="84" customFormat="false" ht="15" hidden="false" customHeight="false" outlineLevel="0" collapsed="false">
      <c r="B84" s="94" t="s">
        <v>102</v>
      </c>
      <c r="C84" s="95"/>
      <c r="D84" s="95" t="s">
        <v>74</v>
      </c>
      <c r="E84" s="101" t="n">
        <f aca="false">SUM(E82:E83)</f>
        <v>154404</v>
      </c>
    </row>
  </sheetData>
  <mergeCells count="7">
    <mergeCell ref="B5:E5"/>
    <mergeCell ref="B14:E14"/>
    <mergeCell ref="B27:E27"/>
    <mergeCell ref="B48:E48"/>
    <mergeCell ref="B53:E53"/>
    <mergeCell ref="B58:E58"/>
    <mergeCell ref="B63:E63"/>
  </mergeCells>
  <printOptions headings="false" gridLines="false" gridLinesSet="true" horizontalCentered="false" verticalCentered="false"/>
  <pageMargins left="0.511805555555555" right="0.511805555555555" top="1.18125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K16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1171875" defaultRowHeight="15" zeroHeight="false" outlineLevelRow="0" outlineLevelCol="0"/>
  <cols>
    <col collapsed="false" customWidth="true" hidden="false" outlineLevel="0" max="2" min="2" style="0" width="34"/>
    <col collapsed="false" customWidth="true" hidden="false" outlineLevel="0" max="3" min="3" style="0" width="48.86"/>
    <col collapsed="false" customWidth="true" hidden="false" outlineLevel="0" max="4" min="4" style="0" width="12.42"/>
    <col collapsed="false" customWidth="true" hidden="false" outlineLevel="0" max="5" min="5" style="0" width="23.01"/>
    <col collapsed="false" customWidth="true" hidden="false" outlineLevel="0" max="11" min="11" style="0" width="12.42"/>
    <col collapsed="false" customWidth="true" hidden="false" outlineLevel="0" max="1024" min="1024" style="0" width="9.14"/>
  </cols>
  <sheetData>
    <row r="5" customFormat="false" ht="15" hidden="false" customHeight="false" outlineLevel="0" collapsed="false">
      <c r="B5" s="83" t="s">
        <v>140</v>
      </c>
      <c r="C5" s="83"/>
      <c r="D5" s="83"/>
      <c r="E5" s="83"/>
    </row>
    <row r="6" customFormat="false" ht="30" hidden="false" customHeight="false" outlineLevel="0" collapsed="false">
      <c r="B6" s="0" t="s">
        <v>45</v>
      </c>
      <c r="C6" s="2" t="s">
        <v>24</v>
      </c>
      <c r="K6" s="84" t="str">
        <f aca="false">B5</f>
        <v>PIRES_DO_RIO</v>
      </c>
    </row>
    <row r="7" customFormat="false" ht="15" hidden="false" customHeight="false" outlineLevel="0" collapsed="false">
      <c r="B7" s="0" t="s">
        <v>46</v>
      </c>
      <c r="D7" s="0" t="s">
        <v>47</v>
      </c>
      <c r="E7" s="18" t="n">
        <v>824.48</v>
      </c>
      <c r="J7" s="78" t="n">
        <v>43466</v>
      </c>
      <c r="K7" s="106" t="n">
        <v>2035</v>
      </c>
    </row>
    <row r="8" customFormat="false" ht="15" hidden="false" customHeight="false" outlineLevel="0" collapsed="false">
      <c r="B8" s="0" t="s">
        <v>48</v>
      </c>
      <c r="E8" s="18" t="s">
        <v>141</v>
      </c>
      <c r="J8" s="78" t="n">
        <v>43497</v>
      </c>
      <c r="K8" s="106" t="n">
        <v>2296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K20*12</f>
        <v>24907.33</v>
      </c>
      <c r="J9" s="78" t="n">
        <v>43525</v>
      </c>
      <c r="K9" s="106" t="n">
        <v>1781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5.33</v>
      </c>
      <c r="J10" s="78" t="n">
        <v>43556</v>
      </c>
      <c r="K10" s="106" t="n">
        <v>2411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0.75</v>
      </c>
      <c r="J11" s="78" t="n">
        <v>43586</v>
      </c>
      <c r="K11" s="106" t="n">
        <v>2329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1459.09</v>
      </c>
      <c r="J12" s="78" t="n">
        <v>43617</v>
      </c>
      <c r="K12" s="106" t="n">
        <v>1788</v>
      </c>
    </row>
    <row r="13" customFormat="false" ht="15" hidden="false" customHeight="false" outlineLevel="0" collapsed="false">
      <c r="J13" s="78" t="n">
        <v>43647</v>
      </c>
      <c r="K13" s="106" t="n">
        <v>1614</v>
      </c>
    </row>
    <row r="14" customFormat="false" ht="15" hidden="false" customHeight="false" outlineLevel="0" collapsed="false">
      <c r="B14" s="88" t="s">
        <v>60</v>
      </c>
      <c r="C14" s="88"/>
      <c r="D14" s="88"/>
      <c r="E14" s="88"/>
      <c r="J14" s="78" t="n">
        <v>43678</v>
      </c>
      <c r="K14" s="106" t="n">
        <v>1582</v>
      </c>
    </row>
    <row r="15" customFormat="false" ht="15" hidden="false" customHeight="false" outlineLevel="0" collapsed="false">
      <c r="J15" s="78" t="n">
        <v>43709</v>
      </c>
      <c r="K15" s="106" t="n">
        <v>2120</v>
      </c>
    </row>
    <row r="16" customFormat="false" ht="15" hidden="false" customHeight="false" outlineLevel="0" collapsed="false">
      <c r="B16" s="0" t="s">
        <v>61</v>
      </c>
      <c r="C16" s="0" t="s">
        <v>62</v>
      </c>
      <c r="D16" s="0" t="s">
        <v>63</v>
      </c>
      <c r="E16" s="89" t="n">
        <f aca="false">E9/E12</f>
        <v>17.07</v>
      </c>
      <c r="J16" s="78" t="n">
        <v>43739</v>
      </c>
      <c r="K16" s="106" t="n">
        <v>2456</v>
      </c>
    </row>
    <row r="17" customFormat="false" ht="15" hidden="false" customHeight="false" outlineLevel="0" collapsed="false">
      <c r="J17" s="78" t="n">
        <v>43770</v>
      </c>
      <c r="K17" s="106" t="n">
        <v>2358</v>
      </c>
    </row>
    <row r="18" customFormat="false" ht="15" hidden="false" customHeight="false" outlineLevel="0" collapsed="false">
      <c r="B18" s="109" t="s">
        <v>65</v>
      </c>
      <c r="C18" s="110"/>
      <c r="D18" s="110" t="s">
        <v>66</v>
      </c>
      <c r="E18" s="111" t="n">
        <v>335</v>
      </c>
      <c r="J18" s="78" t="n">
        <v>43800</v>
      </c>
      <c r="K18" s="106" t="n">
        <v>2137.33</v>
      </c>
    </row>
    <row r="19" customFormat="false" ht="15" hidden="false" customHeight="false" outlineLevel="0" collapsed="false">
      <c r="B19" s="91" t="s">
        <v>67</v>
      </c>
      <c r="C19" s="0" t="s">
        <v>68</v>
      </c>
      <c r="D19" s="0" t="s">
        <v>69</v>
      </c>
      <c r="E19" s="93" t="n">
        <f aca="false">E16*1000/E18</f>
        <v>50.96</v>
      </c>
    </row>
    <row r="20" customFormat="false" ht="15" hidden="false" customHeight="false" outlineLevel="0" collapsed="false">
      <c r="B20" s="91" t="s">
        <v>70</v>
      </c>
      <c r="D20" s="0" t="s">
        <v>47</v>
      </c>
      <c r="E20" s="93" t="n">
        <v>1.98</v>
      </c>
      <c r="J20" s="0" t="s">
        <v>39</v>
      </c>
      <c r="K20" s="0" t="n">
        <f aca="false">(SUM(K7:K18))/12</f>
        <v>2075.61083333333</v>
      </c>
    </row>
    <row r="21" customFormat="false" ht="15" hidden="false" customHeight="false" outlineLevel="0" collapsed="false">
      <c r="B21" s="91" t="s">
        <v>71</v>
      </c>
      <c r="C21" s="0" t="s">
        <v>72</v>
      </c>
      <c r="D21" s="0" t="s">
        <v>47</v>
      </c>
      <c r="E21" s="93" t="n">
        <f aca="false">E19*E20</f>
        <v>100.9</v>
      </c>
    </row>
    <row r="22" customFormat="false" ht="15" hidden="false" customHeight="false" outlineLevel="0" collapsed="false">
      <c r="B22" s="91" t="s">
        <v>73</v>
      </c>
      <c r="D22" s="0" t="s">
        <v>74</v>
      </c>
      <c r="E22" s="93" t="n">
        <v>839</v>
      </c>
    </row>
    <row r="23" customFormat="false" ht="15" hidden="false" customHeight="false" outlineLevel="0" collapsed="false">
      <c r="B23" s="91"/>
      <c r="E23" s="97"/>
    </row>
    <row r="24" customFormat="false" ht="15" hidden="false" customHeight="false" outlineLevel="0" collapsed="false">
      <c r="B24" s="94" t="s">
        <v>75</v>
      </c>
      <c r="C24" s="95"/>
      <c r="D24" s="95" t="s">
        <v>74</v>
      </c>
      <c r="E24" s="96" t="n">
        <f aca="false">E22*E19</f>
        <v>42755.44</v>
      </c>
    </row>
    <row r="27" customFormat="false" ht="15" hidden="false" customHeight="false" outlineLevel="0" collapsed="false">
      <c r="B27" s="88" t="s">
        <v>77</v>
      </c>
      <c r="C27" s="88"/>
      <c r="D27" s="88"/>
      <c r="E27" s="88"/>
    </row>
    <row r="29" customFormat="false" ht="15" hidden="false" customHeight="false" outlineLevel="0" collapsed="false">
      <c r="B29" s="0" t="s">
        <v>78</v>
      </c>
      <c r="C29" s="0" t="s">
        <v>79</v>
      </c>
      <c r="D29" s="0" t="s">
        <v>47</v>
      </c>
      <c r="E29" s="89" t="n">
        <f aca="false">E7*0.8</f>
        <v>659.58</v>
      </c>
    </row>
    <row r="30" customFormat="false" ht="15" hidden="false" customHeight="false" outlineLevel="0" collapsed="false">
      <c r="E30" s="18"/>
    </row>
    <row r="31" customFormat="false" ht="15" hidden="false" customHeight="false" outlineLevel="0" collapsed="false">
      <c r="E31" s="18"/>
    </row>
    <row r="32" customFormat="false" ht="15" hidden="false" customHeight="false" outlineLevel="0" collapsed="false">
      <c r="E32" s="18"/>
    </row>
    <row r="33" customFormat="false" ht="15" hidden="false" customHeight="false" outlineLevel="0" collapsed="false">
      <c r="E33" s="18"/>
    </row>
    <row r="34" customFormat="false" ht="15" hidden="false" customHeight="false" outlineLevel="0" collapsed="false">
      <c r="B34" s="109" t="s">
        <v>70</v>
      </c>
      <c r="C34" s="110"/>
      <c r="D34" s="110" t="s">
        <v>47</v>
      </c>
      <c r="E34" s="111" t="n">
        <v>1.98</v>
      </c>
    </row>
    <row r="35" customFormat="false" ht="15" hidden="false" customHeight="false" outlineLevel="0" collapsed="false">
      <c r="B35" s="91" t="s">
        <v>67</v>
      </c>
      <c r="C35" s="0" t="s">
        <v>80</v>
      </c>
      <c r="D35" s="0" t="s">
        <v>69</v>
      </c>
      <c r="E35" s="98" t="n">
        <f aca="false">E29/E34</f>
        <v>333.12</v>
      </c>
    </row>
    <row r="36" customFormat="false" ht="15" hidden="false" customHeight="false" outlineLevel="0" collapsed="false">
      <c r="B36" s="91" t="s">
        <v>81</v>
      </c>
      <c r="D36" s="0" t="s">
        <v>69</v>
      </c>
      <c r="E36" s="98" t="n">
        <v>333</v>
      </c>
    </row>
    <row r="37" customFormat="false" ht="15" hidden="false" customHeight="false" outlineLevel="0" collapsed="false">
      <c r="B37" s="91" t="s">
        <v>65</v>
      </c>
      <c r="D37" s="0" t="s">
        <v>66</v>
      </c>
      <c r="E37" s="93" t="n">
        <v>335</v>
      </c>
    </row>
    <row r="38" customFormat="false" ht="15" hidden="false" customHeight="false" outlineLevel="0" collapsed="false">
      <c r="B38" s="91" t="s">
        <v>82</v>
      </c>
      <c r="C38" s="0" t="s">
        <v>83</v>
      </c>
      <c r="D38" s="0" t="s">
        <v>63</v>
      </c>
      <c r="E38" s="98" t="n">
        <f aca="false">(E36*E37)/1000</f>
        <v>111.56</v>
      </c>
    </row>
    <row r="39" customFormat="false" ht="15" hidden="false" customHeight="false" outlineLevel="0" collapsed="false">
      <c r="B39" s="91"/>
      <c r="E39" s="93"/>
    </row>
    <row r="40" customFormat="false" ht="15" hidden="false" customHeight="false" outlineLevel="0" collapsed="false">
      <c r="B40" s="91" t="s">
        <v>84</v>
      </c>
      <c r="C40" s="0" t="s">
        <v>85</v>
      </c>
      <c r="D40" s="0" t="s">
        <v>40</v>
      </c>
      <c r="E40" s="98" t="n">
        <f aca="false">E38*E12</f>
        <v>162776.08</v>
      </c>
    </row>
    <row r="41" customFormat="false" ht="15" hidden="false" customHeight="false" outlineLevel="0" collapsed="false">
      <c r="B41" s="91" t="s">
        <v>86</v>
      </c>
      <c r="C41" s="0" t="s">
        <v>51</v>
      </c>
      <c r="D41" s="0" t="s">
        <v>40</v>
      </c>
      <c r="E41" s="93" t="n">
        <f aca="false">E9</f>
        <v>24907.33</v>
      </c>
    </row>
    <row r="42" customFormat="false" ht="15" hidden="false" customHeight="false" outlineLevel="0" collapsed="false">
      <c r="B42" s="91"/>
      <c r="E42" s="93"/>
    </row>
    <row r="43" customFormat="false" ht="15" hidden="false" customHeight="false" outlineLevel="0" collapsed="false">
      <c r="B43" s="91" t="s">
        <v>87</v>
      </c>
      <c r="C43" s="0" t="s">
        <v>88</v>
      </c>
      <c r="D43" s="0" t="s">
        <v>89</v>
      </c>
      <c r="E43" s="100" t="n">
        <f aca="false">E41/E40</f>
        <v>0.15</v>
      </c>
    </row>
    <row r="44" customFormat="false" ht="15" hidden="false" customHeight="false" outlineLevel="0" collapsed="false">
      <c r="B44" s="91"/>
      <c r="E44" s="93"/>
    </row>
    <row r="45" customFormat="false" ht="15" hidden="false" customHeight="false" outlineLevel="0" collapsed="false">
      <c r="B45" s="91" t="s">
        <v>73</v>
      </c>
      <c r="D45" s="0" t="s">
        <v>74</v>
      </c>
      <c r="E45" s="93" t="n">
        <v>839</v>
      </c>
    </row>
    <row r="46" customFormat="false" ht="15" hidden="false" customHeight="false" outlineLevel="0" collapsed="false">
      <c r="B46" s="94" t="s">
        <v>75</v>
      </c>
      <c r="C46" s="95"/>
      <c r="D46" s="95" t="s">
        <v>74</v>
      </c>
      <c r="E46" s="101" t="n">
        <f aca="false">E45*E36</f>
        <v>279387</v>
      </c>
    </row>
    <row r="48" customFormat="false" ht="15" hidden="false" customHeight="false" outlineLevel="0" collapsed="false">
      <c r="B48" s="102" t="s">
        <v>90</v>
      </c>
      <c r="C48" s="102"/>
      <c r="D48" s="102"/>
      <c r="E48" s="102"/>
    </row>
    <row r="50" customFormat="false" ht="15" hidden="false" customHeight="false" outlineLevel="0" collapsed="false">
      <c r="B50" s="0" t="s">
        <v>91</v>
      </c>
      <c r="D50" s="0" t="s">
        <v>63</v>
      </c>
      <c r="E50" s="103" t="n">
        <v>30</v>
      </c>
    </row>
    <row r="51" customFormat="false" ht="15" hidden="false" customHeight="false" outlineLevel="0" collapsed="false">
      <c r="D51" s="0" t="s">
        <v>92</v>
      </c>
      <c r="E51" s="93" t="n">
        <v>21339</v>
      </c>
    </row>
    <row r="53" customFormat="false" ht="15" hidden="false" customHeight="false" outlineLevel="0" collapsed="false">
      <c r="B53" s="102" t="s">
        <v>93</v>
      </c>
      <c r="C53" s="102"/>
      <c r="D53" s="102"/>
      <c r="E53" s="102"/>
    </row>
    <row r="55" customFormat="false" ht="15" hidden="false" customHeight="false" outlineLevel="0" collapsed="false">
      <c r="B55" s="0" t="s">
        <v>91</v>
      </c>
      <c r="D55" s="0" t="s">
        <v>63</v>
      </c>
      <c r="E55" s="103" t="n">
        <v>22.5</v>
      </c>
    </row>
    <row r="56" customFormat="false" ht="15" hidden="false" customHeight="false" outlineLevel="0" collapsed="false">
      <c r="D56" s="0" t="s">
        <v>92</v>
      </c>
      <c r="E56" s="93" t="n">
        <v>20989</v>
      </c>
    </row>
    <row r="58" customFormat="false" ht="15" hidden="false" customHeight="false" outlineLevel="0" collapsed="false">
      <c r="B58" s="102" t="s">
        <v>94</v>
      </c>
      <c r="C58" s="102"/>
      <c r="D58" s="102"/>
      <c r="E58" s="102"/>
    </row>
    <row r="60" customFormat="false" ht="15" hidden="false" customHeight="false" outlineLevel="0" collapsed="false">
      <c r="B60" s="0" t="s">
        <v>91</v>
      </c>
      <c r="D60" s="0" t="s">
        <v>63</v>
      </c>
      <c r="E60" s="103" t="n">
        <v>45</v>
      </c>
    </row>
    <row r="61" customFormat="false" ht="15" hidden="false" customHeight="false" outlineLevel="0" collapsed="false">
      <c r="D61" s="0" t="s">
        <v>92</v>
      </c>
      <c r="E61" s="93" t="n">
        <v>29229</v>
      </c>
    </row>
    <row r="63" customFormat="false" ht="15" hidden="false" customHeight="false" outlineLevel="0" collapsed="false">
      <c r="B63" s="88" t="s">
        <v>95</v>
      </c>
      <c r="C63" s="88"/>
      <c r="D63" s="88"/>
      <c r="E63" s="88"/>
    </row>
    <row r="64" customFormat="false" ht="15" hidden="false" customHeight="false" outlineLevel="0" collapsed="false">
      <c r="C64" s="2" t="s">
        <v>96</v>
      </c>
    </row>
    <row r="65" customFormat="false" ht="15" hidden="false" customHeight="false" outlineLevel="0" collapsed="false">
      <c r="B65" s="0" t="s">
        <v>97</v>
      </c>
      <c r="C65" s="2" t="n">
        <v>4</v>
      </c>
      <c r="D65" s="0" t="s">
        <v>63</v>
      </c>
      <c r="E65" s="89" t="n">
        <f aca="false">C65*E55</f>
        <v>90</v>
      </c>
    </row>
    <row r="66" customFormat="false" ht="15" hidden="false" customHeight="false" outlineLevel="0" collapsed="false">
      <c r="E66" s="18"/>
    </row>
    <row r="68" customFormat="false" ht="15" hidden="false" customHeight="false" outlineLevel="0" collapsed="false">
      <c r="B68" s="109" t="s">
        <v>65</v>
      </c>
      <c r="C68" s="110"/>
      <c r="D68" s="110" t="s">
        <v>66</v>
      </c>
      <c r="E68" s="111" t="n">
        <v>335</v>
      </c>
    </row>
    <row r="69" customFormat="false" ht="15" hidden="false" customHeight="false" outlineLevel="0" collapsed="false">
      <c r="B69" s="91" t="s">
        <v>67</v>
      </c>
      <c r="C69" s="0" t="s">
        <v>103</v>
      </c>
      <c r="D69" s="0" t="s">
        <v>69</v>
      </c>
      <c r="E69" s="98" t="n">
        <f aca="false">(E65/E68)*1000</f>
        <v>268.66</v>
      </c>
    </row>
    <row r="70" customFormat="false" ht="15" hidden="false" customHeight="false" outlineLevel="0" collapsed="false">
      <c r="B70" s="91" t="s">
        <v>81</v>
      </c>
      <c r="D70" s="0" t="s">
        <v>69</v>
      </c>
      <c r="E70" s="98" t="n">
        <v>268</v>
      </c>
    </row>
    <row r="71" customFormat="false" ht="15" hidden="false" customHeight="false" outlineLevel="0" collapsed="false">
      <c r="B71" s="91" t="s">
        <v>70</v>
      </c>
      <c r="D71" s="0" t="s">
        <v>47</v>
      </c>
      <c r="E71" s="93" t="n">
        <v>1.98</v>
      </c>
    </row>
    <row r="72" customFormat="false" ht="15" hidden="false" customHeight="false" outlineLevel="0" collapsed="false">
      <c r="B72" s="91" t="s">
        <v>99</v>
      </c>
      <c r="C72" s="0" t="s">
        <v>72</v>
      </c>
      <c r="D72" s="0" t="s">
        <v>47</v>
      </c>
      <c r="E72" s="98" t="n">
        <f aca="false">E71*E70</f>
        <v>530.64</v>
      </c>
    </row>
    <row r="73" customFormat="false" ht="15" hidden="false" customHeight="false" outlineLevel="0" collapsed="false">
      <c r="B73" s="91" t="s">
        <v>99</v>
      </c>
      <c r="D73" s="41" t="s">
        <v>89</v>
      </c>
      <c r="E73" s="100" t="n">
        <f aca="false">E72/E7</f>
        <v>0.64</v>
      </c>
    </row>
    <row r="74" customFormat="false" ht="15" hidden="false" customHeight="false" outlineLevel="0" collapsed="false">
      <c r="B74" s="91"/>
      <c r="D74" s="41"/>
      <c r="E74" s="100"/>
    </row>
    <row r="75" customFormat="false" ht="15" hidden="false" customHeight="false" outlineLevel="0" collapsed="false">
      <c r="B75" s="91" t="s">
        <v>82</v>
      </c>
      <c r="C75" s="0" t="s">
        <v>83</v>
      </c>
      <c r="D75" s="0" t="s">
        <v>63</v>
      </c>
      <c r="E75" s="93" t="n">
        <f aca="false">E70*E68/1000</f>
        <v>89.78</v>
      </c>
    </row>
    <row r="76" customFormat="false" ht="15" hidden="false" customHeight="false" outlineLevel="0" collapsed="false">
      <c r="B76" s="91" t="s">
        <v>84</v>
      </c>
      <c r="C76" s="0" t="s">
        <v>85</v>
      </c>
      <c r="D76" s="0" t="s">
        <v>40</v>
      </c>
      <c r="E76" s="98" t="n">
        <f aca="false">E75*E12</f>
        <v>130997.1</v>
      </c>
    </row>
    <row r="77" customFormat="false" ht="15" hidden="false" customHeight="false" outlineLevel="0" collapsed="false">
      <c r="B77" s="91" t="s">
        <v>86</v>
      </c>
      <c r="C77" s="0" t="s">
        <v>51</v>
      </c>
      <c r="D77" s="0" t="s">
        <v>40</v>
      </c>
      <c r="E77" s="93" t="n">
        <f aca="false">E9</f>
        <v>24907.33</v>
      </c>
    </row>
    <row r="78" customFormat="false" ht="15" hidden="false" customHeight="false" outlineLevel="0" collapsed="false">
      <c r="B78" s="91"/>
      <c r="E78" s="93"/>
    </row>
    <row r="79" customFormat="false" ht="15" hidden="false" customHeight="false" outlineLevel="0" collapsed="false">
      <c r="B79" s="91" t="s">
        <v>87</v>
      </c>
      <c r="C79" s="0" t="s">
        <v>88</v>
      </c>
      <c r="D79" s="0" t="s">
        <v>89</v>
      </c>
      <c r="E79" s="104" t="n">
        <f aca="false">E77/E76</f>
        <v>0.1901</v>
      </c>
      <c r="F79" s="112" t="n">
        <f aca="false">1-E79</f>
        <v>0.8099</v>
      </c>
    </row>
    <row r="80" customFormat="false" ht="15" hidden="false" customHeight="false" outlineLevel="0" collapsed="false">
      <c r="B80" s="91"/>
      <c r="E80" s="93"/>
    </row>
    <row r="81" customFormat="false" ht="15" hidden="false" customHeight="false" outlineLevel="0" collapsed="false">
      <c r="B81" s="91" t="s">
        <v>73</v>
      </c>
      <c r="D81" s="0" t="s">
        <v>74</v>
      </c>
      <c r="E81" s="93" t="n">
        <v>839</v>
      </c>
    </row>
    <row r="82" customFormat="false" ht="15" hidden="false" customHeight="false" outlineLevel="0" collapsed="false">
      <c r="B82" s="91" t="s">
        <v>75</v>
      </c>
      <c r="D82" s="0" t="s">
        <v>74</v>
      </c>
      <c r="E82" s="98" t="n">
        <f aca="false">E70*E81</f>
        <v>224852</v>
      </c>
    </row>
    <row r="83" customFormat="false" ht="15" hidden="false" customHeight="false" outlineLevel="0" collapsed="false">
      <c r="B83" s="91" t="s">
        <v>101</v>
      </c>
      <c r="D83" s="0" t="s">
        <v>74</v>
      </c>
      <c r="E83" s="98" t="n">
        <f aca="false">C65*E56</f>
        <v>83956</v>
      </c>
    </row>
    <row r="84" customFormat="false" ht="15" hidden="false" customHeight="false" outlineLevel="0" collapsed="false">
      <c r="B84" s="94" t="s">
        <v>102</v>
      </c>
      <c r="C84" s="95"/>
      <c r="D84" s="95" t="s">
        <v>74</v>
      </c>
      <c r="E84" s="101" t="n">
        <f aca="false">SUM(E82:E83)</f>
        <v>308808</v>
      </c>
    </row>
    <row r="116" customFormat="false" ht="15" hidden="false" customHeight="false" outlineLevel="0" collapsed="false">
      <c r="H116" s="0" t="n">
        <f aca="false">0.5+0.5+0.5+0.1+0.1+0.1+0.1</f>
        <v>1.9</v>
      </c>
    </row>
    <row r="166" customFormat="false" ht="15" hidden="false" customHeight="false" outlineLevel="0" collapsed="false">
      <c r="G166" s="112" t="e">
        <f aca="false">1-#REF!</f>
        <v>#REF!</v>
      </c>
    </row>
  </sheetData>
  <mergeCells count="7">
    <mergeCell ref="B5:E5"/>
    <mergeCell ref="B14:E14"/>
    <mergeCell ref="B27:E27"/>
    <mergeCell ref="B48:E48"/>
    <mergeCell ref="B53:E53"/>
    <mergeCell ref="B58:E58"/>
    <mergeCell ref="B63:E63"/>
  </mergeCells>
  <printOptions headings="false" gridLines="false" gridLinesSet="true" horizontalCentered="false" verticalCentered="false"/>
  <pageMargins left="0.511805555555555" right="0.511805555555555" top="1.18125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K8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34"/>
    <col collapsed="false" customWidth="true" hidden="false" outlineLevel="0" max="3" min="3" style="0" width="48.86"/>
    <col collapsed="false" customWidth="true" hidden="false" outlineLevel="0" max="4" min="4" style="0" width="12.42"/>
    <col collapsed="false" customWidth="true" hidden="false" outlineLevel="0" max="5" min="5" style="0" width="19.42"/>
    <col collapsed="false" customWidth="true" hidden="false" outlineLevel="0" max="10" min="6" style="0" width="9"/>
    <col collapsed="false" customWidth="true" hidden="false" outlineLevel="0" max="11" min="11" style="0" width="18.14"/>
    <col collapsed="false" customWidth="true" hidden="false" outlineLevel="0" max="64" min="12" style="0" width="9"/>
  </cols>
  <sheetData>
    <row r="5" customFormat="false" ht="15" hidden="false" customHeight="false" outlineLevel="0" collapsed="false">
      <c r="B5" s="83" t="s">
        <v>142</v>
      </c>
      <c r="C5" s="83"/>
      <c r="D5" s="83"/>
      <c r="E5" s="83"/>
    </row>
    <row r="6" customFormat="false" ht="15" hidden="false" customHeight="false" outlineLevel="0" collapsed="false">
      <c r="B6" s="0" t="s">
        <v>45</v>
      </c>
      <c r="C6" s="2" t="s">
        <v>35</v>
      </c>
      <c r="K6" s="84" t="str">
        <f aca="false">B5</f>
        <v>PORANGATU</v>
      </c>
    </row>
    <row r="7" customFormat="false" ht="15" hidden="false" customHeight="false" outlineLevel="0" collapsed="false">
      <c r="B7" s="0" t="s">
        <v>46</v>
      </c>
      <c r="D7" s="0" t="s">
        <v>47</v>
      </c>
      <c r="E7" s="18" t="n">
        <v>376.64</v>
      </c>
      <c r="J7" s="78" t="n">
        <v>43466</v>
      </c>
      <c r="K7" s="106" t="n">
        <v>2347</v>
      </c>
    </row>
    <row r="8" customFormat="false" ht="15" hidden="false" customHeight="false" outlineLevel="0" collapsed="false">
      <c r="B8" s="0" t="s">
        <v>48</v>
      </c>
      <c r="E8" s="18" t="s">
        <v>143</v>
      </c>
      <c r="J8" s="78" t="n">
        <v>43497</v>
      </c>
      <c r="K8" s="106" t="n">
        <v>3303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K20*12</f>
        <v>38115.91</v>
      </c>
      <c r="J9" s="78" t="n">
        <v>43525</v>
      </c>
      <c r="K9" s="106" t="n">
        <v>2669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5.34</v>
      </c>
      <c r="J10" s="78" t="n">
        <v>43556</v>
      </c>
      <c r="K10" s="106" t="n">
        <v>2724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0.75</v>
      </c>
      <c r="J11" s="78" t="n">
        <v>43586</v>
      </c>
      <c r="K11" s="106" t="n">
        <v>2774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1461.83</v>
      </c>
      <c r="J12" s="78" t="n">
        <v>43617</v>
      </c>
      <c r="K12" s="106" t="n">
        <v>3227</v>
      </c>
    </row>
    <row r="13" customFormat="false" ht="15" hidden="false" customHeight="false" outlineLevel="0" collapsed="false">
      <c r="J13" s="78" t="n">
        <v>43647</v>
      </c>
      <c r="K13" s="106" t="n">
        <v>2739</v>
      </c>
    </row>
    <row r="14" customFormat="false" ht="15" hidden="false" customHeight="false" outlineLevel="0" collapsed="false">
      <c r="B14" s="88" t="s">
        <v>60</v>
      </c>
      <c r="C14" s="88"/>
      <c r="D14" s="88"/>
      <c r="E14" s="88"/>
      <c r="J14" s="78" t="n">
        <v>43678</v>
      </c>
      <c r="K14" s="106" t="n">
        <v>2847</v>
      </c>
    </row>
    <row r="15" customFormat="false" ht="15" hidden="false" customHeight="false" outlineLevel="0" collapsed="false">
      <c r="J15" s="78" t="n">
        <v>43709</v>
      </c>
      <c r="K15" s="106" t="n">
        <v>3973</v>
      </c>
    </row>
    <row r="16" customFormat="false" ht="15" hidden="false" customHeight="false" outlineLevel="0" collapsed="false">
      <c r="B16" s="0" t="s">
        <v>61</v>
      </c>
      <c r="C16" s="0" t="s">
        <v>62</v>
      </c>
      <c r="D16" s="0" t="s">
        <v>63</v>
      </c>
      <c r="E16" s="89" t="n">
        <f aca="false">E9/E12</f>
        <v>26.07</v>
      </c>
      <c r="J16" s="78" t="n">
        <v>43739</v>
      </c>
      <c r="K16" s="106" t="n">
        <v>5055</v>
      </c>
    </row>
    <row r="17" customFormat="false" ht="15" hidden="false" customHeight="false" outlineLevel="0" collapsed="false">
      <c r="J17" s="78" t="n">
        <v>43770</v>
      </c>
      <c r="K17" s="106" t="n">
        <v>3291</v>
      </c>
    </row>
    <row r="18" customFormat="false" ht="15" hidden="false" customHeight="false" outlineLevel="0" collapsed="false">
      <c r="B18" s="109" t="s">
        <v>65</v>
      </c>
      <c r="C18" s="110"/>
      <c r="D18" s="110" t="s">
        <v>66</v>
      </c>
      <c r="E18" s="111" t="n">
        <v>335</v>
      </c>
      <c r="J18" s="78" t="n">
        <v>43800</v>
      </c>
      <c r="K18" s="106" t="n">
        <v>3166.91</v>
      </c>
    </row>
    <row r="19" customFormat="false" ht="15" hidden="false" customHeight="false" outlineLevel="0" collapsed="false">
      <c r="B19" s="91" t="s">
        <v>67</v>
      </c>
      <c r="C19" s="0" t="s">
        <v>68</v>
      </c>
      <c r="D19" s="0" t="s">
        <v>69</v>
      </c>
      <c r="E19" s="93" t="n">
        <f aca="false">E16*1000/E18</f>
        <v>77.82</v>
      </c>
    </row>
    <row r="20" customFormat="false" ht="15" hidden="false" customHeight="false" outlineLevel="0" collapsed="false">
      <c r="B20" s="91" t="s">
        <v>70</v>
      </c>
      <c r="D20" s="0" t="s">
        <v>47</v>
      </c>
      <c r="E20" s="93" t="n">
        <v>1.98</v>
      </c>
      <c r="J20" s="0" t="s">
        <v>39</v>
      </c>
      <c r="K20" s="0" t="n">
        <f aca="false">(SUM(K7:K18))/12</f>
        <v>3176.32583333333</v>
      </c>
    </row>
    <row r="21" customFormat="false" ht="15" hidden="false" customHeight="false" outlineLevel="0" collapsed="false">
      <c r="B21" s="91" t="s">
        <v>71</v>
      </c>
      <c r="C21" s="0" t="s">
        <v>72</v>
      </c>
      <c r="D21" s="0" t="s">
        <v>47</v>
      </c>
      <c r="E21" s="93" t="n">
        <f aca="false">E19*E20</f>
        <v>154.08</v>
      </c>
    </row>
    <row r="22" customFormat="false" ht="15" hidden="false" customHeight="false" outlineLevel="0" collapsed="false">
      <c r="B22" s="91" t="s">
        <v>73</v>
      </c>
      <c r="D22" s="0" t="s">
        <v>74</v>
      </c>
      <c r="E22" s="93" t="n">
        <v>839</v>
      </c>
    </row>
    <row r="23" customFormat="false" ht="15" hidden="false" customHeight="false" outlineLevel="0" collapsed="false">
      <c r="B23" s="91"/>
      <c r="E23" s="97"/>
    </row>
    <row r="24" customFormat="false" ht="15" hidden="false" customHeight="false" outlineLevel="0" collapsed="false">
      <c r="B24" s="94" t="s">
        <v>75</v>
      </c>
      <c r="C24" s="95"/>
      <c r="D24" s="95" t="s">
        <v>74</v>
      </c>
      <c r="E24" s="96" t="n">
        <f aca="false">E22*E19</f>
        <v>65290.98</v>
      </c>
    </row>
    <row r="27" customFormat="false" ht="15" hidden="false" customHeight="false" outlineLevel="0" collapsed="false">
      <c r="B27" s="88" t="s">
        <v>77</v>
      </c>
      <c r="C27" s="88"/>
      <c r="D27" s="88"/>
      <c r="E27" s="88"/>
    </row>
    <row r="29" customFormat="false" ht="15" hidden="false" customHeight="false" outlineLevel="0" collapsed="false">
      <c r="B29" s="0" t="s">
        <v>78</v>
      </c>
      <c r="C29" s="0" t="s">
        <v>79</v>
      </c>
      <c r="D29" s="0" t="s">
        <v>47</v>
      </c>
      <c r="E29" s="89" t="n">
        <f aca="false">E7*0.8</f>
        <v>301.31</v>
      </c>
    </row>
    <row r="30" customFormat="false" ht="15" hidden="false" customHeight="false" outlineLevel="0" collapsed="false">
      <c r="E30" s="18"/>
    </row>
    <row r="31" customFormat="false" ht="15" hidden="false" customHeight="false" outlineLevel="0" collapsed="false">
      <c r="E31" s="18"/>
    </row>
    <row r="32" customFormat="false" ht="15" hidden="false" customHeight="false" outlineLevel="0" collapsed="false">
      <c r="E32" s="18"/>
    </row>
    <row r="33" customFormat="false" ht="15" hidden="false" customHeight="false" outlineLevel="0" collapsed="false">
      <c r="E33" s="18"/>
    </row>
    <row r="34" customFormat="false" ht="15" hidden="false" customHeight="false" outlineLevel="0" collapsed="false">
      <c r="B34" s="109" t="s">
        <v>70</v>
      </c>
      <c r="C34" s="110"/>
      <c r="D34" s="110" t="s">
        <v>47</v>
      </c>
      <c r="E34" s="111" t="n">
        <v>1.98</v>
      </c>
    </row>
    <row r="35" customFormat="false" ht="15" hidden="false" customHeight="false" outlineLevel="0" collapsed="false">
      <c r="B35" s="91" t="s">
        <v>67</v>
      </c>
      <c r="C35" s="0" t="s">
        <v>80</v>
      </c>
      <c r="D35" s="0" t="s">
        <v>69</v>
      </c>
      <c r="E35" s="98" t="n">
        <f aca="false">E29/E34</f>
        <v>152.18</v>
      </c>
    </row>
    <row r="36" customFormat="false" ht="15" hidden="false" customHeight="false" outlineLevel="0" collapsed="false">
      <c r="B36" s="91" t="s">
        <v>81</v>
      </c>
      <c r="D36" s="0" t="s">
        <v>69</v>
      </c>
      <c r="E36" s="98" t="n">
        <v>152</v>
      </c>
    </row>
    <row r="37" customFormat="false" ht="15" hidden="false" customHeight="false" outlineLevel="0" collapsed="false">
      <c r="B37" s="91" t="s">
        <v>65</v>
      </c>
      <c r="D37" s="0" t="s">
        <v>66</v>
      </c>
      <c r="E37" s="93" t="n">
        <v>335</v>
      </c>
    </row>
    <row r="38" customFormat="false" ht="15" hidden="false" customHeight="false" outlineLevel="0" collapsed="false">
      <c r="B38" s="91" t="s">
        <v>82</v>
      </c>
      <c r="C38" s="0" t="s">
        <v>83</v>
      </c>
      <c r="D38" s="0" t="s">
        <v>63</v>
      </c>
      <c r="E38" s="98" t="n">
        <f aca="false">(E36*E37)/1000</f>
        <v>50.92</v>
      </c>
    </row>
    <row r="39" customFormat="false" ht="15" hidden="false" customHeight="false" outlineLevel="0" collapsed="false">
      <c r="B39" s="91"/>
      <c r="E39" s="93"/>
    </row>
    <row r="40" customFormat="false" ht="15" hidden="false" customHeight="false" outlineLevel="0" collapsed="false">
      <c r="B40" s="91" t="s">
        <v>84</v>
      </c>
      <c r="C40" s="0" t="s">
        <v>85</v>
      </c>
      <c r="D40" s="0" t="s">
        <v>40</v>
      </c>
      <c r="E40" s="98" t="n">
        <f aca="false">E38*E12</f>
        <v>74436.38</v>
      </c>
    </row>
    <row r="41" customFormat="false" ht="15" hidden="false" customHeight="false" outlineLevel="0" collapsed="false">
      <c r="B41" s="91" t="s">
        <v>86</v>
      </c>
      <c r="C41" s="0" t="s">
        <v>51</v>
      </c>
      <c r="D41" s="0" t="s">
        <v>40</v>
      </c>
      <c r="E41" s="93" t="n">
        <f aca="false">E9</f>
        <v>38115.91</v>
      </c>
    </row>
    <row r="42" customFormat="false" ht="15" hidden="false" customHeight="false" outlineLevel="0" collapsed="false">
      <c r="B42" s="91"/>
      <c r="E42" s="93"/>
    </row>
    <row r="43" customFormat="false" ht="15" hidden="false" customHeight="false" outlineLevel="0" collapsed="false">
      <c r="B43" s="91" t="s">
        <v>87</v>
      </c>
      <c r="C43" s="0" t="s">
        <v>88</v>
      </c>
      <c r="D43" s="0" t="s">
        <v>89</v>
      </c>
      <c r="E43" s="100" t="n">
        <f aca="false">E41/E40</f>
        <v>0.51</v>
      </c>
    </row>
    <row r="44" customFormat="false" ht="15" hidden="false" customHeight="false" outlineLevel="0" collapsed="false">
      <c r="B44" s="91"/>
      <c r="E44" s="93"/>
    </row>
    <row r="45" customFormat="false" ht="15" hidden="false" customHeight="false" outlineLevel="0" collapsed="false">
      <c r="B45" s="91" t="s">
        <v>73</v>
      </c>
      <c r="D45" s="0" t="s">
        <v>74</v>
      </c>
      <c r="E45" s="93" t="n">
        <v>839</v>
      </c>
    </row>
    <row r="46" customFormat="false" ht="15" hidden="false" customHeight="false" outlineLevel="0" collapsed="false">
      <c r="B46" s="94" t="s">
        <v>75</v>
      </c>
      <c r="C46" s="95"/>
      <c r="D46" s="95" t="s">
        <v>74</v>
      </c>
      <c r="E46" s="101" t="n">
        <f aca="false">E45*E36</f>
        <v>127528</v>
      </c>
    </row>
    <row r="48" customFormat="false" ht="15" hidden="false" customHeight="false" outlineLevel="0" collapsed="false">
      <c r="B48" s="102" t="s">
        <v>90</v>
      </c>
      <c r="C48" s="102"/>
      <c r="D48" s="102"/>
      <c r="E48" s="102"/>
    </row>
    <row r="50" customFormat="false" ht="15" hidden="false" customHeight="false" outlineLevel="0" collapsed="false">
      <c r="B50" s="0" t="s">
        <v>91</v>
      </c>
      <c r="D50" s="0" t="s">
        <v>63</v>
      </c>
      <c r="E50" s="103" t="n">
        <v>30</v>
      </c>
    </row>
    <row r="51" customFormat="false" ht="15" hidden="false" customHeight="false" outlineLevel="0" collapsed="false">
      <c r="D51" s="0" t="s">
        <v>92</v>
      </c>
      <c r="E51" s="93" t="n">
        <v>21339</v>
      </c>
    </row>
    <row r="53" customFormat="false" ht="15" hidden="false" customHeight="false" outlineLevel="0" collapsed="false">
      <c r="B53" s="102" t="s">
        <v>93</v>
      </c>
      <c r="C53" s="102"/>
      <c r="D53" s="102"/>
      <c r="E53" s="102"/>
    </row>
    <row r="55" customFormat="false" ht="15" hidden="false" customHeight="false" outlineLevel="0" collapsed="false">
      <c r="B55" s="0" t="s">
        <v>91</v>
      </c>
      <c r="D55" s="0" t="s">
        <v>63</v>
      </c>
      <c r="E55" s="103" t="n">
        <v>22.5</v>
      </c>
    </row>
    <row r="56" customFormat="false" ht="15" hidden="false" customHeight="false" outlineLevel="0" collapsed="false">
      <c r="D56" s="0" t="s">
        <v>92</v>
      </c>
      <c r="E56" s="93" t="n">
        <v>20989</v>
      </c>
    </row>
    <row r="58" customFormat="false" ht="15" hidden="false" customHeight="false" outlineLevel="0" collapsed="false">
      <c r="B58" s="102" t="s">
        <v>94</v>
      </c>
      <c r="C58" s="102"/>
      <c r="D58" s="102"/>
      <c r="E58" s="102"/>
    </row>
    <row r="60" customFormat="false" ht="15" hidden="false" customHeight="false" outlineLevel="0" collapsed="false">
      <c r="B60" s="0" t="s">
        <v>91</v>
      </c>
      <c r="D60" s="0" t="s">
        <v>63</v>
      </c>
      <c r="E60" s="103" t="n">
        <v>45</v>
      </c>
    </row>
    <row r="61" customFormat="false" ht="15" hidden="false" customHeight="false" outlineLevel="0" collapsed="false">
      <c r="D61" s="0" t="s">
        <v>92</v>
      </c>
      <c r="E61" s="93" t="n">
        <v>29229</v>
      </c>
    </row>
    <row r="63" customFormat="false" ht="15" hidden="false" customHeight="false" outlineLevel="0" collapsed="false">
      <c r="B63" s="88" t="s">
        <v>95</v>
      </c>
      <c r="C63" s="88"/>
      <c r="D63" s="88"/>
      <c r="E63" s="88"/>
    </row>
    <row r="64" customFormat="false" ht="15" hidden="false" customHeight="false" outlineLevel="0" collapsed="false">
      <c r="C64" s="2" t="s">
        <v>96</v>
      </c>
    </row>
    <row r="65" customFormat="false" ht="15" hidden="false" customHeight="false" outlineLevel="0" collapsed="false">
      <c r="B65" s="0" t="s">
        <v>97</v>
      </c>
      <c r="C65" s="2" t="n">
        <v>2</v>
      </c>
      <c r="D65" s="0" t="s">
        <v>63</v>
      </c>
      <c r="E65" s="89" t="n">
        <f aca="false">C65*E55</f>
        <v>45</v>
      </c>
    </row>
    <row r="66" customFormat="false" ht="15" hidden="false" customHeight="false" outlineLevel="0" collapsed="false">
      <c r="E66" s="18"/>
    </row>
    <row r="68" customFormat="false" ht="15" hidden="false" customHeight="false" outlineLevel="0" collapsed="false">
      <c r="B68" s="109" t="s">
        <v>65</v>
      </c>
      <c r="C68" s="110"/>
      <c r="D68" s="110" t="s">
        <v>66</v>
      </c>
      <c r="E68" s="111" t="n">
        <v>335</v>
      </c>
    </row>
    <row r="69" customFormat="false" ht="15" hidden="false" customHeight="false" outlineLevel="0" collapsed="false">
      <c r="B69" s="91" t="s">
        <v>67</v>
      </c>
      <c r="C69" s="0" t="s">
        <v>103</v>
      </c>
      <c r="D69" s="0" t="s">
        <v>69</v>
      </c>
      <c r="E69" s="98" t="n">
        <f aca="false">(E65/E68)*1000</f>
        <v>134.33</v>
      </c>
    </row>
    <row r="70" customFormat="false" ht="15" hidden="false" customHeight="false" outlineLevel="0" collapsed="false">
      <c r="B70" s="91" t="s">
        <v>81</v>
      </c>
      <c r="D70" s="0" t="s">
        <v>69</v>
      </c>
      <c r="E70" s="98" t="n">
        <v>134</v>
      </c>
    </row>
    <row r="71" customFormat="false" ht="15" hidden="false" customHeight="false" outlineLevel="0" collapsed="false">
      <c r="B71" s="91" t="s">
        <v>70</v>
      </c>
      <c r="D71" s="0" t="s">
        <v>47</v>
      </c>
      <c r="E71" s="93" t="n">
        <v>1.98</v>
      </c>
    </row>
    <row r="72" customFormat="false" ht="15" hidden="false" customHeight="false" outlineLevel="0" collapsed="false">
      <c r="B72" s="91" t="s">
        <v>99</v>
      </c>
      <c r="C72" s="0" t="s">
        <v>72</v>
      </c>
      <c r="D72" s="0" t="s">
        <v>47</v>
      </c>
      <c r="E72" s="98" t="n">
        <f aca="false">E71*E70</f>
        <v>265.32</v>
      </c>
    </row>
    <row r="73" customFormat="false" ht="15" hidden="false" customHeight="false" outlineLevel="0" collapsed="false">
      <c r="B73" s="91" t="s">
        <v>99</v>
      </c>
      <c r="D73" s="41" t="s">
        <v>89</v>
      </c>
      <c r="E73" s="100" t="n">
        <f aca="false">E72/E7</f>
        <v>0.7</v>
      </c>
    </row>
    <row r="74" customFormat="false" ht="15" hidden="false" customHeight="false" outlineLevel="0" collapsed="false">
      <c r="B74" s="91"/>
      <c r="D74" s="41"/>
      <c r="E74" s="100"/>
    </row>
    <row r="75" customFormat="false" ht="15" hidden="false" customHeight="false" outlineLevel="0" collapsed="false">
      <c r="B75" s="91" t="s">
        <v>82</v>
      </c>
      <c r="C75" s="0" t="s">
        <v>83</v>
      </c>
      <c r="D75" s="0" t="s">
        <v>63</v>
      </c>
      <c r="E75" s="93" t="n">
        <f aca="false">E70*E68/1000</f>
        <v>44.89</v>
      </c>
    </row>
    <row r="76" customFormat="false" ht="15" hidden="false" customHeight="false" outlineLevel="0" collapsed="false">
      <c r="B76" s="91" t="s">
        <v>84</v>
      </c>
      <c r="C76" s="0" t="s">
        <v>85</v>
      </c>
      <c r="D76" s="0" t="s">
        <v>40</v>
      </c>
      <c r="E76" s="98" t="n">
        <f aca="false">E75*E12</f>
        <v>65621.55</v>
      </c>
    </row>
    <row r="77" customFormat="false" ht="15" hidden="false" customHeight="false" outlineLevel="0" collapsed="false">
      <c r="B77" s="91" t="s">
        <v>86</v>
      </c>
      <c r="C77" s="0" t="s">
        <v>51</v>
      </c>
      <c r="D77" s="0" t="s">
        <v>40</v>
      </c>
      <c r="E77" s="93" t="n">
        <f aca="false">E9</f>
        <v>38115.91</v>
      </c>
    </row>
    <row r="78" customFormat="false" ht="15" hidden="false" customHeight="false" outlineLevel="0" collapsed="false">
      <c r="B78" s="91"/>
      <c r="E78" s="93"/>
    </row>
    <row r="79" customFormat="false" ht="15" hidden="false" customHeight="false" outlineLevel="0" collapsed="false">
      <c r="B79" s="91" t="s">
        <v>87</v>
      </c>
      <c r="C79" s="0" t="s">
        <v>88</v>
      </c>
      <c r="D79" s="0" t="s">
        <v>89</v>
      </c>
      <c r="E79" s="104" t="n">
        <f aca="false">E77/E76</f>
        <v>0.5808</v>
      </c>
      <c r="F79" s="112" t="n">
        <f aca="false">1-E79</f>
        <v>0.4192</v>
      </c>
    </row>
    <row r="80" customFormat="false" ht="15" hidden="false" customHeight="false" outlineLevel="0" collapsed="false">
      <c r="B80" s="91"/>
      <c r="E80" s="93"/>
    </row>
    <row r="81" customFormat="false" ht="15" hidden="false" customHeight="false" outlineLevel="0" collapsed="false">
      <c r="B81" s="91" t="s">
        <v>73</v>
      </c>
      <c r="D81" s="0" t="s">
        <v>74</v>
      </c>
      <c r="E81" s="93" t="n">
        <v>839</v>
      </c>
    </row>
    <row r="82" customFormat="false" ht="15" hidden="false" customHeight="false" outlineLevel="0" collapsed="false">
      <c r="B82" s="91" t="s">
        <v>75</v>
      </c>
      <c r="D82" s="0" t="s">
        <v>74</v>
      </c>
      <c r="E82" s="98" t="n">
        <f aca="false">E70*E81</f>
        <v>112426</v>
      </c>
    </row>
    <row r="83" customFormat="false" ht="15" hidden="false" customHeight="false" outlineLevel="0" collapsed="false">
      <c r="B83" s="91" t="s">
        <v>101</v>
      </c>
      <c r="D83" s="0" t="s">
        <v>74</v>
      </c>
      <c r="E83" s="98" t="n">
        <f aca="false">C65*E56</f>
        <v>41978</v>
      </c>
    </row>
    <row r="84" customFormat="false" ht="15" hidden="false" customHeight="false" outlineLevel="0" collapsed="false">
      <c r="B84" s="94" t="s">
        <v>102</v>
      </c>
      <c r="C84" s="95"/>
      <c r="D84" s="95" t="s">
        <v>74</v>
      </c>
      <c r="E84" s="101" t="n">
        <f aca="false">SUM(E82:E83)</f>
        <v>154404</v>
      </c>
    </row>
  </sheetData>
  <mergeCells count="7">
    <mergeCell ref="B5:E5"/>
    <mergeCell ref="B14:E14"/>
    <mergeCell ref="B27:E27"/>
    <mergeCell ref="B48:E48"/>
    <mergeCell ref="B53:E53"/>
    <mergeCell ref="B58:E58"/>
    <mergeCell ref="B63:E63"/>
  </mergeCells>
  <printOptions headings="false" gridLines="false" gridLinesSet="true" horizontalCentered="false" verticalCentered="false"/>
  <pageMargins left="0.511805555555555" right="0.511805555555555" top="1.18125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K1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9" activeCellId="0" sqref="K1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34"/>
    <col collapsed="false" customWidth="true" hidden="false" outlineLevel="0" max="3" min="3" style="0" width="48.86"/>
    <col collapsed="false" customWidth="true" hidden="false" outlineLevel="0" max="4" min="4" style="0" width="12.42"/>
    <col collapsed="false" customWidth="true" hidden="false" outlineLevel="0" max="5" min="5" style="0" width="18.14"/>
    <col collapsed="false" customWidth="true" hidden="false" outlineLevel="0" max="10" min="6" style="0" width="9"/>
    <col collapsed="false" customWidth="true" hidden="false" outlineLevel="0" max="11" min="11" style="0" width="10.58"/>
    <col collapsed="false" customWidth="true" hidden="false" outlineLevel="0" max="64" min="12" style="0" width="9"/>
  </cols>
  <sheetData>
    <row r="2" customFormat="false" ht="15" hidden="false" customHeight="false" outlineLevel="0" collapsed="false">
      <c r="B2" s="18" t="n">
        <f aca="false">INDEX(B6:E12,MATCH("telhado",B6:B12,0),4)</f>
        <v>242.79</v>
      </c>
    </row>
    <row r="5" customFormat="false" ht="15" hidden="false" customHeight="false" outlineLevel="0" collapsed="false">
      <c r="B5" s="83" t="s">
        <v>44</v>
      </c>
      <c r="C5" s="83"/>
      <c r="D5" s="83"/>
      <c r="E5" s="83"/>
    </row>
    <row r="6" customFormat="false" ht="15" hidden="false" customHeight="false" outlineLevel="0" collapsed="false">
      <c r="B6" s="0" t="s">
        <v>45</v>
      </c>
      <c r="C6" s="2" t="s">
        <v>35</v>
      </c>
      <c r="K6" s="84" t="str">
        <f aca="false">B5</f>
        <v>ANÁPOLIS</v>
      </c>
    </row>
    <row r="7" customFormat="false" ht="15" hidden="false" customHeight="false" outlineLevel="0" collapsed="false">
      <c r="B7" s="0" t="s">
        <v>46</v>
      </c>
      <c r="D7" s="0" t="s">
        <v>47</v>
      </c>
      <c r="E7" s="85" t="n">
        <v>242.79</v>
      </c>
      <c r="J7" s="78" t="n">
        <v>43466</v>
      </c>
      <c r="K7" s="86" t="n">
        <v>4963.01</v>
      </c>
    </row>
    <row r="8" customFormat="false" ht="15" hidden="false" customHeight="false" outlineLevel="0" collapsed="false">
      <c r="B8" s="87" t="s">
        <v>48</v>
      </c>
      <c r="C8" s="87"/>
      <c r="D8" s="87"/>
      <c r="E8" s="85" t="s">
        <v>49</v>
      </c>
      <c r="J8" s="78" t="n">
        <v>43497</v>
      </c>
      <c r="K8" s="86" t="n">
        <v>6297.48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K20*12</f>
        <v>73551.49</v>
      </c>
      <c r="J9" s="78" t="n">
        <v>43525</v>
      </c>
      <c r="K9" s="86" t="n">
        <v>5177.66</v>
      </c>
    </row>
    <row r="10" customFormat="false" ht="15" hidden="false" customHeight="false" outlineLevel="0" collapsed="false">
      <c r="B10" s="87" t="s">
        <v>52</v>
      </c>
      <c r="C10" s="87" t="s">
        <v>53</v>
      </c>
      <c r="D10" s="87" t="s">
        <v>54</v>
      </c>
      <c r="E10" s="85" t="n">
        <v>5.2</v>
      </c>
      <c r="J10" s="78" t="n">
        <v>43556</v>
      </c>
      <c r="K10" s="86" t="n">
        <v>6001.1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0.75</v>
      </c>
      <c r="J11" s="78" t="n">
        <v>43586</v>
      </c>
      <c r="K11" s="86" t="n">
        <v>6806.63</v>
      </c>
    </row>
    <row r="12" customFormat="false" ht="15" hidden="false" customHeight="false" outlineLevel="0" collapsed="false">
      <c r="B12" s="0" t="s">
        <v>57</v>
      </c>
      <c r="C12" s="0" t="s">
        <v>58</v>
      </c>
      <c r="D12" s="0" t="s">
        <v>59</v>
      </c>
      <c r="E12" s="18" t="n">
        <f aca="false">E10*365*E11</f>
        <v>1423.5</v>
      </c>
      <c r="J12" s="78" t="n">
        <v>43617</v>
      </c>
      <c r="K12" s="86" t="n">
        <v>5918.15</v>
      </c>
    </row>
    <row r="13" customFormat="false" ht="15" hidden="false" customHeight="false" outlineLevel="0" collapsed="false">
      <c r="J13" s="78" t="n">
        <v>43647</v>
      </c>
      <c r="K13" s="86" t="n">
        <v>5561.55</v>
      </c>
    </row>
    <row r="14" customFormat="false" ht="15" hidden="false" customHeight="false" outlineLevel="0" collapsed="false">
      <c r="J14" s="78" t="n">
        <v>43678</v>
      </c>
      <c r="K14" s="86" t="n">
        <v>5767.73</v>
      </c>
    </row>
    <row r="15" customFormat="false" ht="15" hidden="false" customHeight="false" outlineLevel="0" collapsed="false">
      <c r="B15" s="88" t="s">
        <v>60</v>
      </c>
      <c r="C15" s="88"/>
      <c r="D15" s="88"/>
      <c r="E15" s="88"/>
      <c r="J15" s="78" t="n">
        <v>43709</v>
      </c>
      <c r="K15" s="86" t="n">
        <v>7401.04</v>
      </c>
    </row>
    <row r="16" customFormat="false" ht="15" hidden="false" customHeight="false" outlineLevel="0" collapsed="false">
      <c r="J16" s="78" t="n">
        <v>43739</v>
      </c>
      <c r="K16" s="86" t="n">
        <v>7149.12</v>
      </c>
    </row>
    <row r="17" customFormat="false" ht="15" hidden="false" customHeight="false" outlineLevel="0" collapsed="false">
      <c r="B17" s="0" t="s">
        <v>61</v>
      </c>
      <c r="C17" s="0" t="s">
        <v>62</v>
      </c>
      <c r="D17" s="0" t="s">
        <v>63</v>
      </c>
      <c r="E17" s="89" t="n">
        <f aca="false">E9/E12</f>
        <v>51.67</v>
      </c>
      <c r="J17" s="78" t="n">
        <v>43770</v>
      </c>
      <c r="K17" s="86" t="n">
        <v>6372.02</v>
      </c>
    </row>
    <row r="18" customFormat="false" ht="15" hidden="false" customHeight="false" outlineLevel="0" collapsed="false">
      <c r="J18" s="78" t="n">
        <v>43800</v>
      </c>
      <c r="K18" s="86" t="n">
        <v>6136</v>
      </c>
    </row>
    <row r="19" customFormat="false" ht="15" hidden="false" customHeight="false" outlineLevel="0" collapsed="false">
      <c r="B19" s="90" t="s">
        <v>64</v>
      </c>
      <c r="C19" s="90"/>
      <c r="D19" s="90"/>
      <c r="E19" s="90"/>
      <c r="K19" s="31" t="n">
        <f aca="false">SUM(K7:K18)</f>
        <v>73551</v>
      </c>
    </row>
    <row r="20" customFormat="false" ht="15" hidden="false" customHeight="false" outlineLevel="0" collapsed="false">
      <c r="B20" s="91" t="s">
        <v>65</v>
      </c>
      <c r="D20" s="0" t="s">
        <v>66</v>
      </c>
      <c r="E20" s="92" t="n">
        <v>335</v>
      </c>
      <c r="J20" s="0" t="s">
        <v>39</v>
      </c>
      <c r="K20" s="0" t="n">
        <f aca="false">(SUM(K7:K18))/12</f>
        <v>6129.29083333333</v>
      </c>
    </row>
    <row r="21" customFormat="false" ht="15" hidden="false" customHeight="false" outlineLevel="0" collapsed="false">
      <c r="B21" s="91" t="s">
        <v>67</v>
      </c>
      <c r="C21" s="0" t="s">
        <v>68</v>
      </c>
      <c r="D21" s="0" t="s">
        <v>69</v>
      </c>
      <c r="E21" s="93" t="n">
        <f aca="false">(E17*1000/E20)</f>
        <v>154.24</v>
      </c>
    </row>
    <row r="22" customFormat="false" ht="15" hidden="false" customHeight="false" outlineLevel="0" collapsed="false">
      <c r="B22" s="91" t="s">
        <v>70</v>
      </c>
      <c r="D22" s="0" t="s">
        <v>47</v>
      </c>
      <c r="E22" s="93" t="n">
        <v>1.98</v>
      </c>
    </row>
    <row r="23" customFormat="false" ht="15" hidden="false" customHeight="false" outlineLevel="0" collapsed="false">
      <c r="B23" s="91" t="s">
        <v>71</v>
      </c>
      <c r="C23" s="0" t="s">
        <v>72</v>
      </c>
      <c r="D23" s="0" t="s">
        <v>47</v>
      </c>
      <c r="E23" s="93" t="n">
        <f aca="false">E21*E22</f>
        <v>305.4</v>
      </c>
    </row>
    <row r="24" customFormat="false" ht="15" hidden="false" customHeight="false" outlineLevel="0" collapsed="false">
      <c r="B24" s="91" t="s">
        <v>73</v>
      </c>
      <c r="D24" s="0" t="s">
        <v>74</v>
      </c>
      <c r="E24" s="93" t="n">
        <v>839</v>
      </c>
    </row>
    <row r="25" customFormat="false" ht="15" hidden="false" customHeight="false" outlineLevel="0" collapsed="false">
      <c r="B25" s="91"/>
      <c r="E25" s="93"/>
    </row>
    <row r="26" customFormat="false" ht="15" hidden="false" customHeight="false" outlineLevel="0" collapsed="false">
      <c r="B26" s="94" t="s">
        <v>75</v>
      </c>
      <c r="C26" s="95"/>
      <c r="D26" s="95" t="s">
        <v>74</v>
      </c>
      <c r="E26" s="96" t="n">
        <f aca="false">E24*E21</f>
        <v>129407.36</v>
      </c>
    </row>
    <row r="28" customFormat="false" ht="15" hidden="false" customHeight="false" outlineLevel="0" collapsed="false">
      <c r="B28" s="90" t="s">
        <v>76</v>
      </c>
      <c r="C28" s="90"/>
      <c r="D28" s="90"/>
      <c r="E28" s="90"/>
    </row>
    <row r="29" customFormat="false" ht="15" hidden="false" customHeight="false" outlineLevel="0" collapsed="false">
      <c r="B29" s="91" t="s">
        <v>65</v>
      </c>
      <c r="D29" s="0" t="s">
        <v>66</v>
      </c>
      <c r="E29" s="93" t="n">
        <v>400</v>
      </c>
    </row>
    <row r="30" customFormat="false" ht="15" hidden="false" customHeight="false" outlineLevel="0" collapsed="false">
      <c r="B30" s="91" t="s">
        <v>67</v>
      </c>
      <c r="C30" s="0" t="s">
        <v>68</v>
      </c>
      <c r="D30" s="0" t="s">
        <v>69</v>
      </c>
      <c r="E30" s="93" t="n">
        <f aca="false">(E17*1000)/E29</f>
        <v>129.18</v>
      </c>
    </row>
    <row r="31" customFormat="false" ht="15" hidden="false" customHeight="false" outlineLevel="0" collapsed="false">
      <c r="B31" s="91" t="s">
        <v>70</v>
      </c>
      <c r="D31" s="0" t="s">
        <v>47</v>
      </c>
      <c r="E31" s="93" t="n">
        <v>2.03</v>
      </c>
    </row>
    <row r="32" customFormat="false" ht="15" hidden="false" customHeight="false" outlineLevel="0" collapsed="false">
      <c r="B32" s="91" t="s">
        <v>71</v>
      </c>
      <c r="C32" s="0" t="s">
        <v>72</v>
      </c>
      <c r="D32" s="0" t="s">
        <v>47</v>
      </c>
      <c r="E32" s="93" t="n">
        <f aca="false">E30*E31</f>
        <v>262.24</v>
      </c>
    </row>
    <row r="33" customFormat="false" ht="15" hidden="false" customHeight="false" outlineLevel="0" collapsed="false">
      <c r="B33" s="91" t="s">
        <v>73</v>
      </c>
      <c r="D33" s="0" t="s">
        <v>74</v>
      </c>
      <c r="E33" s="93" t="n">
        <v>1129</v>
      </c>
    </row>
    <row r="34" customFormat="false" ht="15" hidden="false" customHeight="false" outlineLevel="0" collapsed="false">
      <c r="B34" s="91"/>
      <c r="E34" s="97"/>
    </row>
    <row r="35" customFormat="false" ht="15" hidden="false" customHeight="false" outlineLevel="0" collapsed="false">
      <c r="B35" s="94" t="s">
        <v>75</v>
      </c>
      <c r="C35" s="95"/>
      <c r="D35" s="95" t="s">
        <v>74</v>
      </c>
      <c r="E35" s="96" t="n">
        <f aca="false">E33*E30</f>
        <v>145844.22</v>
      </c>
    </row>
    <row r="36" customFormat="false" ht="15" hidden="false" customHeight="false" outlineLevel="0" collapsed="false">
      <c r="E36" s="18"/>
    </row>
    <row r="39" customFormat="false" ht="15" hidden="false" customHeight="false" outlineLevel="0" collapsed="false">
      <c r="B39" s="88" t="s">
        <v>77</v>
      </c>
      <c r="C39" s="88"/>
      <c r="D39" s="88"/>
      <c r="E39" s="88"/>
    </row>
    <row r="41" customFormat="false" ht="15" hidden="false" customHeight="false" outlineLevel="0" collapsed="false">
      <c r="B41" s="0" t="s">
        <v>78</v>
      </c>
      <c r="C41" s="0" t="s">
        <v>79</v>
      </c>
      <c r="D41" s="0" t="s">
        <v>47</v>
      </c>
      <c r="E41" s="89" t="n">
        <f aca="false">E7*0.8</f>
        <v>194.23</v>
      </c>
    </row>
    <row r="42" customFormat="false" ht="15" hidden="false" customHeight="false" outlineLevel="0" collapsed="false">
      <c r="E42" s="18"/>
    </row>
    <row r="43" customFormat="false" ht="15" hidden="false" customHeight="false" outlineLevel="0" collapsed="false">
      <c r="B43" s="90" t="s">
        <v>64</v>
      </c>
      <c r="C43" s="90"/>
      <c r="D43" s="90"/>
      <c r="E43" s="90"/>
      <c r="I43" s="0" t="n">
        <v>184.83</v>
      </c>
    </row>
    <row r="44" customFormat="false" ht="15" hidden="false" customHeight="false" outlineLevel="0" collapsed="false">
      <c r="B44" s="91" t="s">
        <v>70</v>
      </c>
      <c r="D44" s="0" t="s">
        <v>47</v>
      </c>
      <c r="E44" s="93" t="n">
        <v>1.98</v>
      </c>
      <c r="I44" s="0" t="n">
        <v>205.7</v>
      </c>
    </row>
    <row r="45" customFormat="false" ht="15" hidden="false" customHeight="false" outlineLevel="0" collapsed="false">
      <c r="B45" s="91" t="s">
        <v>67</v>
      </c>
      <c r="C45" s="0" t="s">
        <v>80</v>
      </c>
      <c r="D45" s="0" t="s">
        <v>69</v>
      </c>
      <c r="E45" s="98" t="n">
        <f aca="false">E41/E44</f>
        <v>98.1</v>
      </c>
      <c r="I45" s="0" t="n">
        <v>74.39</v>
      </c>
    </row>
    <row r="46" customFormat="false" ht="15" hidden="false" customHeight="false" outlineLevel="0" collapsed="false">
      <c r="B46" s="91" t="s">
        <v>81</v>
      </c>
      <c r="D46" s="0" t="s">
        <v>69</v>
      </c>
      <c r="E46" s="98" t="n">
        <v>98</v>
      </c>
      <c r="I46" s="0" t="n">
        <v>22.87</v>
      </c>
    </row>
    <row r="47" customFormat="false" ht="15" hidden="false" customHeight="false" outlineLevel="0" collapsed="false">
      <c r="B47" s="91" t="s">
        <v>65</v>
      </c>
      <c r="D47" s="0" t="s">
        <v>66</v>
      </c>
      <c r="E47" s="99" t="n">
        <v>335</v>
      </c>
      <c r="I47" s="0" t="n">
        <v>22.87</v>
      </c>
    </row>
    <row r="48" customFormat="false" ht="15" hidden="false" customHeight="false" outlineLevel="0" collapsed="false">
      <c r="B48" s="91" t="s">
        <v>82</v>
      </c>
      <c r="C48" s="0" t="s">
        <v>83</v>
      </c>
      <c r="D48" s="0" t="s">
        <v>63</v>
      </c>
      <c r="E48" s="98" t="n">
        <f aca="false">(E46*E47)/1000</f>
        <v>32.83</v>
      </c>
    </row>
    <row r="49" customFormat="false" ht="15" hidden="false" customHeight="false" outlineLevel="0" collapsed="false">
      <c r="B49" s="91"/>
      <c r="E49" s="93"/>
    </row>
    <row r="50" customFormat="false" ht="15" hidden="false" customHeight="false" outlineLevel="0" collapsed="false">
      <c r="B50" s="91" t="s">
        <v>84</v>
      </c>
      <c r="C50" s="0" t="s">
        <v>85</v>
      </c>
      <c r="D50" s="0" t="s">
        <v>40</v>
      </c>
      <c r="E50" s="98" t="n">
        <f aca="false">E48*E12</f>
        <v>46733.51</v>
      </c>
    </row>
    <row r="51" customFormat="false" ht="15" hidden="false" customHeight="false" outlineLevel="0" collapsed="false">
      <c r="B51" s="91" t="s">
        <v>86</v>
      </c>
      <c r="C51" s="0" t="s">
        <v>51</v>
      </c>
      <c r="D51" s="0" t="s">
        <v>40</v>
      </c>
      <c r="E51" s="93" t="n">
        <f aca="false">K20*12</f>
        <v>73551.49</v>
      </c>
    </row>
    <row r="52" customFormat="false" ht="15" hidden="false" customHeight="false" outlineLevel="0" collapsed="false">
      <c r="B52" s="91"/>
      <c r="E52" s="93"/>
    </row>
    <row r="53" customFormat="false" ht="15" hidden="false" customHeight="false" outlineLevel="0" collapsed="false">
      <c r="B53" s="91" t="s">
        <v>87</v>
      </c>
      <c r="C53" s="0" t="s">
        <v>88</v>
      </c>
      <c r="D53" s="0" t="s">
        <v>89</v>
      </c>
      <c r="E53" s="100" t="n">
        <f aca="false">E51/E50</f>
        <v>1.57</v>
      </c>
    </row>
    <row r="54" customFormat="false" ht="15" hidden="false" customHeight="false" outlineLevel="0" collapsed="false">
      <c r="B54" s="91"/>
      <c r="E54" s="93"/>
    </row>
    <row r="55" customFormat="false" ht="15" hidden="false" customHeight="false" outlineLevel="0" collapsed="false">
      <c r="B55" s="91" t="s">
        <v>73</v>
      </c>
      <c r="D55" s="0" t="s">
        <v>74</v>
      </c>
      <c r="E55" s="93" t="n">
        <v>839</v>
      </c>
    </row>
    <row r="56" customFormat="false" ht="15" hidden="false" customHeight="false" outlineLevel="0" collapsed="false">
      <c r="B56" s="94" t="s">
        <v>75</v>
      </c>
      <c r="C56" s="95"/>
      <c r="D56" s="95" t="s">
        <v>74</v>
      </c>
      <c r="E56" s="101" t="n">
        <f aca="false">E55*E46</f>
        <v>82222</v>
      </c>
    </row>
    <row r="57" customFormat="false" ht="15" hidden="false" customHeight="false" outlineLevel="0" collapsed="false">
      <c r="E57" s="18"/>
    </row>
    <row r="58" customFormat="false" ht="15" hidden="false" customHeight="false" outlineLevel="0" collapsed="false">
      <c r="E58" s="18"/>
    </row>
    <row r="59" customFormat="false" ht="15" hidden="false" customHeight="false" outlineLevel="0" collapsed="false">
      <c r="B59" s="90" t="s">
        <v>76</v>
      </c>
      <c r="C59" s="90"/>
      <c r="D59" s="90"/>
      <c r="E59" s="90"/>
    </row>
    <row r="60" customFormat="false" ht="15" hidden="false" customHeight="false" outlineLevel="0" collapsed="false">
      <c r="B60" s="91" t="s">
        <v>70</v>
      </c>
      <c r="D60" s="0" t="s">
        <v>47</v>
      </c>
      <c r="E60" s="93" t="n">
        <f aca="false">E31</f>
        <v>2.03</v>
      </c>
    </row>
    <row r="61" customFormat="false" ht="15" hidden="false" customHeight="false" outlineLevel="0" collapsed="false">
      <c r="B61" s="91" t="s">
        <v>67</v>
      </c>
      <c r="C61" s="0" t="s">
        <v>80</v>
      </c>
      <c r="D61" s="0" t="s">
        <v>69</v>
      </c>
      <c r="E61" s="98" t="n">
        <f aca="false">E41/E60</f>
        <v>95.68</v>
      </c>
    </row>
    <row r="62" customFormat="false" ht="15" hidden="false" customHeight="false" outlineLevel="0" collapsed="false">
      <c r="B62" s="91" t="s">
        <v>81</v>
      </c>
      <c r="D62" s="0" t="s">
        <v>69</v>
      </c>
      <c r="E62" s="98" t="n">
        <v>95</v>
      </c>
    </row>
    <row r="63" customFormat="false" ht="15" hidden="false" customHeight="false" outlineLevel="0" collapsed="false">
      <c r="B63" s="91" t="s">
        <v>65</v>
      </c>
      <c r="D63" s="0" t="s">
        <v>66</v>
      </c>
      <c r="E63" s="93" t="n">
        <v>400</v>
      </c>
    </row>
    <row r="64" customFormat="false" ht="15" hidden="false" customHeight="false" outlineLevel="0" collapsed="false">
      <c r="B64" s="91" t="s">
        <v>82</v>
      </c>
      <c r="C64" s="0" t="s">
        <v>83</v>
      </c>
      <c r="D64" s="0" t="s">
        <v>63</v>
      </c>
      <c r="E64" s="98" t="n">
        <f aca="false">(E62*E63)/1000</f>
        <v>38</v>
      </c>
    </row>
    <row r="65" customFormat="false" ht="15" hidden="false" customHeight="false" outlineLevel="0" collapsed="false">
      <c r="B65" s="91"/>
      <c r="E65" s="93"/>
    </row>
    <row r="66" customFormat="false" ht="15" hidden="false" customHeight="false" outlineLevel="0" collapsed="false">
      <c r="B66" s="91" t="s">
        <v>84</v>
      </c>
      <c r="C66" s="0" t="s">
        <v>85</v>
      </c>
      <c r="D66" s="0" t="s">
        <v>40</v>
      </c>
      <c r="E66" s="98" t="n">
        <f aca="false">E64*E12</f>
        <v>54093</v>
      </c>
    </row>
    <row r="67" customFormat="false" ht="15" hidden="false" customHeight="false" outlineLevel="0" collapsed="false">
      <c r="B67" s="91" t="s">
        <v>86</v>
      </c>
      <c r="C67" s="0" t="s">
        <v>51</v>
      </c>
      <c r="D67" s="0" t="s">
        <v>40</v>
      </c>
      <c r="E67" s="93" t="n">
        <f aca="false">K20*12</f>
        <v>73551.49</v>
      </c>
    </row>
    <row r="68" customFormat="false" ht="15" hidden="false" customHeight="false" outlineLevel="0" collapsed="false">
      <c r="B68" s="91"/>
      <c r="E68" s="93"/>
    </row>
    <row r="69" customFormat="false" ht="15" hidden="false" customHeight="false" outlineLevel="0" collapsed="false">
      <c r="B69" s="91" t="s">
        <v>87</v>
      </c>
      <c r="C69" s="0" t="s">
        <v>88</v>
      </c>
      <c r="D69" s="0" t="s">
        <v>89</v>
      </c>
      <c r="E69" s="100" t="n">
        <f aca="false">E67/E66</f>
        <v>1.36</v>
      </c>
    </row>
    <row r="70" customFormat="false" ht="15" hidden="false" customHeight="false" outlineLevel="0" collapsed="false">
      <c r="B70" s="91"/>
      <c r="E70" s="93"/>
    </row>
    <row r="71" customFormat="false" ht="15" hidden="false" customHeight="false" outlineLevel="0" collapsed="false">
      <c r="B71" s="91" t="s">
        <v>73</v>
      </c>
      <c r="D71" s="0" t="s">
        <v>74</v>
      </c>
      <c r="E71" s="93" t="n">
        <v>1038</v>
      </c>
    </row>
    <row r="72" customFormat="false" ht="15" hidden="false" customHeight="false" outlineLevel="0" collapsed="false">
      <c r="B72" s="94" t="s">
        <v>75</v>
      </c>
      <c r="C72" s="95"/>
      <c r="D72" s="95" t="s">
        <v>74</v>
      </c>
      <c r="E72" s="101" t="n">
        <f aca="false">E71*E62</f>
        <v>98610</v>
      </c>
    </row>
    <row r="73" customFormat="false" ht="15" hidden="false" customHeight="false" outlineLevel="0" collapsed="false">
      <c r="E73" s="18"/>
    </row>
    <row r="74" customFormat="false" ht="15" hidden="false" customHeight="false" outlineLevel="0" collapsed="false">
      <c r="A74" s="91"/>
    </row>
    <row r="75" customFormat="false" ht="15" hidden="false" customHeight="false" outlineLevel="0" collapsed="false">
      <c r="B75" s="102" t="s">
        <v>90</v>
      </c>
      <c r="C75" s="102"/>
      <c r="D75" s="102"/>
      <c r="E75" s="102"/>
    </row>
    <row r="77" customFormat="false" ht="15" hidden="false" customHeight="false" outlineLevel="0" collapsed="false">
      <c r="B77" s="0" t="s">
        <v>91</v>
      </c>
      <c r="D77" s="0" t="s">
        <v>63</v>
      </c>
      <c r="E77" s="103" t="n">
        <v>30</v>
      </c>
    </row>
    <row r="78" customFormat="false" ht="15" hidden="false" customHeight="false" outlineLevel="0" collapsed="false">
      <c r="D78" s="0" t="s">
        <v>92</v>
      </c>
      <c r="E78" s="93" t="n">
        <v>21339</v>
      </c>
    </row>
    <row r="80" customFormat="false" ht="15" hidden="false" customHeight="false" outlineLevel="0" collapsed="false">
      <c r="B80" s="102" t="s">
        <v>93</v>
      </c>
      <c r="C80" s="102"/>
      <c r="D80" s="102"/>
      <c r="E80" s="102"/>
    </row>
    <row r="82" customFormat="false" ht="15" hidden="false" customHeight="false" outlineLevel="0" collapsed="false">
      <c r="B82" s="0" t="s">
        <v>91</v>
      </c>
      <c r="D82" s="0" t="s">
        <v>63</v>
      </c>
      <c r="E82" s="103" t="n">
        <v>22.5</v>
      </c>
    </row>
    <row r="83" customFormat="false" ht="15" hidden="false" customHeight="false" outlineLevel="0" collapsed="false">
      <c r="D83" s="0" t="s">
        <v>92</v>
      </c>
      <c r="E83" s="93" t="n">
        <v>20989</v>
      </c>
    </row>
    <row r="85" customFormat="false" ht="15" hidden="false" customHeight="false" outlineLevel="0" collapsed="false">
      <c r="B85" s="102" t="s">
        <v>94</v>
      </c>
      <c r="C85" s="102"/>
      <c r="D85" s="102"/>
      <c r="E85" s="102"/>
    </row>
    <row r="87" customFormat="false" ht="15" hidden="false" customHeight="false" outlineLevel="0" collapsed="false">
      <c r="B87" s="0" t="s">
        <v>91</v>
      </c>
      <c r="D87" s="0" t="s">
        <v>63</v>
      </c>
      <c r="E87" s="103" t="n">
        <v>45</v>
      </c>
    </row>
    <row r="88" customFormat="false" ht="15" hidden="false" customHeight="false" outlineLevel="0" collapsed="false">
      <c r="D88" s="0" t="s">
        <v>92</v>
      </c>
      <c r="E88" s="93" t="n">
        <v>29229</v>
      </c>
    </row>
    <row r="90" customFormat="false" ht="15" hidden="false" customHeight="false" outlineLevel="0" collapsed="false">
      <c r="B90" s="88" t="s">
        <v>95</v>
      </c>
      <c r="C90" s="88"/>
      <c r="D90" s="88"/>
      <c r="E90" s="88"/>
    </row>
    <row r="91" customFormat="false" ht="15" hidden="false" customHeight="false" outlineLevel="0" collapsed="false">
      <c r="C91" s="2" t="s">
        <v>96</v>
      </c>
    </row>
    <row r="92" customFormat="false" ht="15" hidden="false" customHeight="false" outlineLevel="0" collapsed="false">
      <c r="B92" s="0" t="s">
        <v>97</v>
      </c>
      <c r="C92" s="2" t="n">
        <v>1</v>
      </c>
      <c r="D92" s="0" t="s">
        <v>63</v>
      </c>
      <c r="E92" s="89" t="n">
        <f aca="false">C92*E82</f>
        <v>22.5</v>
      </c>
    </row>
    <row r="93" customFormat="false" ht="15" hidden="false" customHeight="false" outlineLevel="0" collapsed="false">
      <c r="E93" s="18"/>
    </row>
    <row r="94" customFormat="false" ht="15" hidden="false" customHeight="false" outlineLevel="0" collapsed="false">
      <c r="B94" s="90" t="s">
        <v>64</v>
      </c>
      <c r="C94" s="90"/>
      <c r="D94" s="90"/>
      <c r="E94" s="90"/>
    </row>
    <row r="95" customFormat="false" ht="15" hidden="false" customHeight="false" outlineLevel="0" collapsed="false">
      <c r="B95" s="91" t="s">
        <v>65</v>
      </c>
      <c r="D95" s="0" t="s">
        <v>66</v>
      </c>
      <c r="E95" s="93" t="n">
        <v>335</v>
      </c>
    </row>
    <row r="96" customFormat="false" ht="15" hidden="false" customHeight="false" outlineLevel="0" collapsed="false">
      <c r="B96" s="91" t="s">
        <v>67</v>
      </c>
      <c r="C96" s="0" t="s">
        <v>98</v>
      </c>
      <c r="D96" s="0" t="s">
        <v>69</v>
      </c>
      <c r="E96" s="98" t="n">
        <f aca="false">(E92/E95)*1000</f>
        <v>67.16</v>
      </c>
    </row>
    <row r="97" customFormat="false" ht="15" hidden="false" customHeight="false" outlineLevel="0" collapsed="false">
      <c r="B97" s="91" t="s">
        <v>81</v>
      </c>
      <c r="D97" s="0" t="s">
        <v>69</v>
      </c>
      <c r="E97" s="98" t="n">
        <v>67</v>
      </c>
    </row>
    <row r="98" customFormat="false" ht="15" hidden="false" customHeight="false" outlineLevel="0" collapsed="false">
      <c r="B98" s="91" t="s">
        <v>70</v>
      </c>
      <c r="D98" s="0" t="s">
        <v>47</v>
      </c>
      <c r="E98" s="93" t="n">
        <f aca="false">(1.96*0.99)</f>
        <v>1.94</v>
      </c>
    </row>
    <row r="99" customFormat="false" ht="15" hidden="false" customHeight="false" outlineLevel="0" collapsed="false">
      <c r="B99" s="91" t="s">
        <v>99</v>
      </c>
      <c r="C99" s="0" t="s">
        <v>72</v>
      </c>
      <c r="D99" s="0" t="s">
        <v>47</v>
      </c>
      <c r="E99" s="98" t="n">
        <f aca="false">E98*E97</f>
        <v>129.98</v>
      </c>
    </row>
    <row r="100" customFormat="false" ht="15" hidden="false" customHeight="false" outlineLevel="0" collapsed="false">
      <c r="B100" s="91" t="s">
        <v>99</v>
      </c>
      <c r="D100" s="41" t="s">
        <v>89</v>
      </c>
      <c r="E100" s="100" t="n">
        <f aca="false">E99/E7</f>
        <v>0.54</v>
      </c>
    </row>
    <row r="101" customFormat="false" ht="15" hidden="false" customHeight="false" outlineLevel="0" collapsed="false">
      <c r="B101" s="91"/>
      <c r="D101" s="41"/>
      <c r="E101" s="100"/>
    </row>
    <row r="102" customFormat="false" ht="15" hidden="false" customHeight="false" outlineLevel="0" collapsed="false">
      <c r="B102" s="91" t="s">
        <v>82</v>
      </c>
      <c r="C102" s="0" t="s">
        <v>83</v>
      </c>
      <c r="D102" s="0" t="s">
        <v>63</v>
      </c>
      <c r="E102" s="93" t="n">
        <f aca="false">E97*E95/1000</f>
        <v>22.45</v>
      </c>
    </row>
    <row r="103" customFormat="false" ht="15" hidden="false" customHeight="false" outlineLevel="0" collapsed="false">
      <c r="B103" s="91" t="s">
        <v>84</v>
      </c>
      <c r="C103" s="0" t="s">
        <v>85</v>
      </c>
      <c r="D103" s="0" t="s">
        <v>40</v>
      </c>
      <c r="E103" s="98" t="n">
        <f aca="false">E97*E95*E12/1000</f>
        <v>31950.46</v>
      </c>
      <c r="F103" s="0" t="s">
        <v>100</v>
      </c>
    </row>
    <row r="104" customFormat="false" ht="15" hidden="false" customHeight="false" outlineLevel="0" collapsed="false">
      <c r="B104" s="91" t="s">
        <v>86</v>
      </c>
      <c r="C104" s="0" t="s">
        <v>51</v>
      </c>
      <c r="D104" s="0" t="s">
        <v>40</v>
      </c>
      <c r="E104" s="93" t="n">
        <f aca="false">K20*12</f>
        <v>73551.49</v>
      </c>
    </row>
    <row r="105" customFormat="false" ht="15" hidden="false" customHeight="false" outlineLevel="0" collapsed="false">
      <c r="B105" s="91"/>
      <c r="E105" s="93"/>
    </row>
    <row r="106" customFormat="false" ht="15" hidden="false" customHeight="false" outlineLevel="0" collapsed="false">
      <c r="B106" s="91" t="s">
        <v>87</v>
      </c>
      <c r="C106" s="0" t="s">
        <v>88</v>
      </c>
      <c r="D106" s="0" t="s">
        <v>89</v>
      </c>
      <c r="E106" s="104" t="n">
        <f aca="false">E104/E103</f>
        <v>2.302</v>
      </c>
    </row>
    <row r="107" customFormat="false" ht="15" hidden="false" customHeight="false" outlineLevel="0" collapsed="false">
      <c r="B107" s="91"/>
      <c r="E107" s="93"/>
    </row>
    <row r="108" customFormat="false" ht="15" hidden="false" customHeight="false" outlineLevel="0" collapsed="false">
      <c r="B108" s="91" t="s">
        <v>73</v>
      </c>
      <c r="D108" s="0" t="s">
        <v>74</v>
      </c>
      <c r="E108" s="93" t="n">
        <v>839</v>
      </c>
    </row>
    <row r="109" customFormat="false" ht="15" hidden="false" customHeight="false" outlineLevel="0" collapsed="false">
      <c r="B109" s="91" t="s">
        <v>75</v>
      </c>
      <c r="C109" s="105"/>
      <c r="D109" s="105" t="s">
        <v>74</v>
      </c>
      <c r="E109" s="98" t="n">
        <f aca="false">E108*E97</f>
        <v>56213</v>
      </c>
    </row>
    <row r="110" customFormat="false" ht="15" hidden="false" customHeight="false" outlineLevel="0" collapsed="false">
      <c r="B110" s="91" t="s">
        <v>101</v>
      </c>
      <c r="D110" s="0" t="s">
        <v>74</v>
      </c>
      <c r="E110" s="98" t="n">
        <f aca="false">C92*E83</f>
        <v>20989</v>
      </c>
    </row>
    <row r="111" customFormat="false" ht="15" hidden="false" customHeight="false" outlineLevel="0" collapsed="false">
      <c r="B111" s="94" t="s">
        <v>102</v>
      </c>
      <c r="C111" s="95"/>
      <c r="D111" s="95" t="s">
        <v>74</v>
      </c>
      <c r="E111" s="101" t="n">
        <f aca="false">SUM(E109:E110)</f>
        <v>77202</v>
      </c>
    </row>
    <row r="112" customFormat="false" ht="15" hidden="false" customHeight="false" outlineLevel="0" collapsed="false">
      <c r="E112" s="18"/>
    </row>
    <row r="113" customFormat="false" ht="15" hidden="false" customHeight="false" outlineLevel="0" collapsed="false">
      <c r="E113" s="18"/>
    </row>
    <row r="114" customFormat="false" ht="15" hidden="false" customHeight="false" outlineLevel="0" collapsed="false">
      <c r="B114" s="90" t="s">
        <v>76</v>
      </c>
      <c r="C114" s="90"/>
      <c r="D114" s="90"/>
      <c r="E114" s="90"/>
    </row>
    <row r="115" customFormat="false" ht="15" hidden="false" customHeight="false" outlineLevel="0" collapsed="false">
      <c r="B115" s="91" t="s">
        <v>65</v>
      </c>
      <c r="D115" s="0" t="s">
        <v>66</v>
      </c>
      <c r="E115" s="93" t="n">
        <v>400</v>
      </c>
    </row>
    <row r="116" customFormat="false" ht="15" hidden="false" customHeight="false" outlineLevel="0" collapsed="false">
      <c r="B116" s="91" t="s">
        <v>67</v>
      </c>
      <c r="C116" s="0" t="s">
        <v>103</v>
      </c>
      <c r="D116" s="0" t="s">
        <v>69</v>
      </c>
      <c r="E116" s="98" t="n">
        <f aca="false">(E92/E115)*1000</f>
        <v>56.25</v>
      </c>
    </row>
    <row r="117" customFormat="false" ht="15" hidden="false" customHeight="false" outlineLevel="0" collapsed="false">
      <c r="B117" s="91" t="s">
        <v>81</v>
      </c>
      <c r="D117" s="0" t="s">
        <v>69</v>
      </c>
      <c r="E117" s="98" t="n">
        <v>168</v>
      </c>
    </row>
    <row r="118" customFormat="false" ht="15" hidden="false" customHeight="false" outlineLevel="0" collapsed="false">
      <c r="B118" s="91" t="s">
        <v>70</v>
      </c>
      <c r="D118" s="0" t="s">
        <v>47</v>
      </c>
      <c r="E118" s="93" t="n">
        <f aca="false">E60</f>
        <v>2.03</v>
      </c>
    </row>
    <row r="119" customFormat="false" ht="15" hidden="false" customHeight="false" outlineLevel="0" collapsed="false">
      <c r="B119" s="91" t="s">
        <v>99</v>
      </c>
      <c r="C119" s="0" t="s">
        <v>72</v>
      </c>
      <c r="D119" s="0" t="s">
        <v>63</v>
      </c>
      <c r="E119" s="98" t="n">
        <f aca="false">E117*E118</f>
        <v>341.04</v>
      </c>
    </row>
    <row r="120" customFormat="false" ht="15" hidden="false" customHeight="false" outlineLevel="0" collapsed="false">
      <c r="B120" s="91" t="s">
        <v>99</v>
      </c>
      <c r="D120" s="41" t="s">
        <v>89</v>
      </c>
      <c r="E120" s="100" t="n">
        <f aca="false">E119/E7</f>
        <v>1.4</v>
      </c>
    </row>
    <row r="121" customFormat="false" ht="15" hidden="false" customHeight="false" outlineLevel="0" collapsed="false">
      <c r="B121" s="91"/>
      <c r="D121" s="41"/>
      <c r="E121" s="100"/>
    </row>
    <row r="122" customFormat="false" ht="15" hidden="false" customHeight="false" outlineLevel="0" collapsed="false">
      <c r="B122" s="91" t="s">
        <v>82</v>
      </c>
      <c r="C122" s="0" t="s">
        <v>83</v>
      </c>
      <c r="D122" s="0" t="s">
        <v>63</v>
      </c>
      <c r="E122" s="93" t="n">
        <f aca="false">E117*E115/1000</f>
        <v>67.2</v>
      </c>
    </row>
    <row r="123" customFormat="false" ht="15" hidden="false" customHeight="false" outlineLevel="0" collapsed="false">
      <c r="B123" s="91" t="s">
        <v>84</v>
      </c>
      <c r="C123" s="0" t="s">
        <v>85</v>
      </c>
      <c r="D123" s="0" t="s">
        <v>40</v>
      </c>
      <c r="E123" s="98" t="n">
        <f aca="false">E117*E115*E12/1000</f>
        <v>95659.2</v>
      </c>
    </row>
    <row r="124" customFormat="false" ht="15" hidden="false" customHeight="false" outlineLevel="0" collapsed="false">
      <c r="B124" s="91" t="s">
        <v>86</v>
      </c>
      <c r="C124" s="0" t="s">
        <v>51</v>
      </c>
      <c r="D124" s="0" t="s">
        <v>40</v>
      </c>
      <c r="E124" s="93" t="n">
        <f aca="false">K20*12</f>
        <v>73551.49</v>
      </c>
    </row>
    <row r="125" customFormat="false" ht="15" hidden="false" customHeight="false" outlineLevel="0" collapsed="false">
      <c r="B125" s="91"/>
      <c r="E125" s="93"/>
    </row>
    <row r="126" customFormat="false" ht="15" hidden="false" customHeight="false" outlineLevel="0" collapsed="false">
      <c r="B126" s="91" t="s">
        <v>87</v>
      </c>
      <c r="C126" s="0" t="s">
        <v>88</v>
      </c>
      <c r="D126" s="0" t="s">
        <v>89</v>
      </c>
      <c r="E126" s="104" t="n">
        <f aca="false">E124/E123</f>
        <v>0.7689</v>
      </c>
    </row>
    <row r="127" customFormat="false" ht="15" hidden="false" customHeight="false" outlineLevel="0" collapsed="false">
      <c r="B127" s="91"/>
      <c r="E127" s="93"/>
    </row>
    <row r="128" customFormat="false" ht="15" hidden="false" customHeight="false" outlineLevel="0" collapsed="false">
      <c r="B128" s="91" t="s">
        <v>73</v>
      </c>
      <c r="D128" s="0" t="s">
        <v>74</v>
      </c>
      <c r="E128" s="93" t="n">
        <v>1129</v>
      </c>
    </row>
    <row r="129" customFormat="false" ht="15" hidden="false" customHeight="false" outlineLevel="0" collapsed="false">
      <c r="B129" s="94" t="s">
        <v>75</v>
      </c>
      <c r="C129" s="95"/>
      <c r="D129" s="95" t="s">
        <v>74</v>
      </c>
      <c r="E129" s="101" t="n">
        <f aca="false">E128*E117</f>
        <v>189672</v>
      </c>
    </row>
  </sheetData>
  <mergeCells count="13">
    <mergeCell ref="B5:E5"/>
    <mergeCell ref="B15:E15"/>
    <mergeCell ref="B19:E19"/>
    <mergeCell ref="B28:E28"/>
    <mergeCell ref="B39:E39"/>
    <mergeCell ref="B43:E43"/>
    <mergeCell ref="B59:E59"/>
    <mergeCell ref="B75:E75"/>
    <mergeCell ref="B80:E80"/>
    <mergeCell ref="B85:E85"/>
    <mergeCell ref="B90:E90"/>
    <mergeCell ref="B94:E94"/>
    <mergeCell ref="B114:E114"/>
  </mergeCells>
  <printOptions headings="false" gridLines="false" gridLinesSet="true" horizontalCentered="false" verticalCentered="false"/>
  <pageMargins left="0.511805555555555" right="0.511805555555555" top="1.18125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I8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40.71"/>
    <col collapsed="false" customWidth="true" hidden="false" outlineLevel="0" max="3" min="3" style="0" width="42.71"/>
    <col collapsed="false" customWidth="true" hidden="false" outlineLevel="0" max="4" min="4" style="0" width="12.14"/>
    <col collapsed="false" customWidth="true" hidden="false" outlineLevel="0" max="5" min="5" style="0" width="19.42"/>
    <col collapsed="false" customWidth="true" hidden="false" outlineLevel="0" max="9" min="6" style="0" width="12.14"/>
    <col collapsed="false" customWidth="true" hidden="false" outlineLevel="0" max="64" min="10" style="0" width="9.14"/>
  </cols>
  <sheetData>
    <row r="5" customFormat="false" ht="15" hidden="false" customHeight="false" outlineLevel="0" collapsed="false">
      <c r="B5" s="83" t="s">
        <v>144</v>
      </c>
      <c r="C5" s="83"/>
      <c r="D5" s="83"/>
      <c r="E5" s="83"/>
    </row>
    <row r="6" customFormat="false" ht="15" hidden="false" customHeight="false" outlineLevel="0" collapsed="false">
      <c r="B6" s="0" t="s">
        <v>45</v>
      </c>
      <c r="C6" s="2" t="s">
        <v>35</v>
      </c>
      <c r="I6" s="84" t="str">
        <f aca="false">B5</f>
        <v>POSSE</v>
      </c>
    </row>
    <row r="7" customFormat="false" ht="15" hidden="false" customHeight="false" outlineLevel="0" collapsed="false">
      <c r="B7" s="0" t="s">
        <v>46</v>
      </c>
      <c r="D7" s="0" t="s">
        <v>47</v>
      </c>
      <c r="E7" s="18" t="n">
        <v>437.56</v>
      </c>
      <c r="H7" s="78" t="n">
        <v>43466</v>
      </c>
      <c r="I7" s="106" t="n">
        <v>2082.19</v>
      </c>
    </row>
    <row r="8" customFormat="false" ht="15" hidden="false" customHeight="false" outlineLevel="0" collapsed="false">
      <c r="B8" s="0" t="s">
        <v>48</v>
      </c>
      <c r="E8" s="18" t="s">
        <v>145</v>
      </c>
      <c r="H8" s="78" t="n">
        <v>43497</v>
      </c>
      <c r="I8" s="106" t="n">
        <v>2677.58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I20*12</f>
        <v>28657.08</v>
      </c>
      <c r="H9" s="78" t="n">
        <v>43525</v>
      </c>
      <c r="I9" s="106" t="n">
        <v>2437.98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5.48</v>
      </c>
      <c r="H10" s="78" t="n">
        <v>43556</v>
      </c>
      <c r="I10" s="106" t="n">
        <v>2339.32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0.75</v>
      </c>
      <c r="H11" s="78" t="n">
        <v>43586</v>
      </c>
      <c r="I11" s="106" t="n">
        <v>2215.62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1500.15</v>
      </c>
      <c r="H12" s="78" t="n">
        <v>43617</v>
      </c>
      <c r="I12" s="106" t="n">
        <v>2635.6</v>
      </c>
    </row>
    <row r="13" customFormat="false" ht="15" hidden="false" customHeight="false" outlineLevel="0" collapsed="false">
      <c r="H13" s="78" t="n">
        <v>43647</v>
      </c>
      <c r="I13" s="106" t="n">
        <v>2132.62</v>
      </c>
    </row>
    <row r="14" customFormat="false" ht="15" hidden="false" customHeight="false" outlineLevel="0" collapsed="false">
      <c r="B14" s="88" t="s">
        <v>60</v>
      </c>
      <c r="C14" s="88"/>
      <c r="D14" s="88"/>
      <c r="E14" s="88"/>
      <c r="H14" s="78" t="n">
        <v>43678</v>
      </c>
      <c r="I14" s="106" t="n">
        <v>1809.37</v>
      </c>
    </row>
    <row r="15" customFormat="false" ht="15" hidden="false" customHeight="false" outlineLevel="0" collapsed="false">
      <c r="H15" s="78" t="n">
        <v>43709</v>
      </c>
      <c r="I15" s="106" t="n">
        <v>2196.93</v>
      </c>
    </row>
    <row r="16" customFormat="false" ht="15" hidden="false" customHeight="false" outlineLevel="0" collapsed="false">
      <c r="B16" s="0" t="s">
        <v>61</v>
      </c>
      <c r="C16" s="0" t="s">
        <v>62</v>
      </c>
      <c r="D16" s="0" t="s">
        <v>63</v>
      </c>
      <c r="E16" s="89" t="n">
        <f aca="false">E9/E12</f>
        <v>19.1</v>
      </c>
      <c r="H16" s="78" t="n">
        <v>43739</v>
      </c>
      <c r="I16" s="106" t="n">
        <v>2925.3</v>
      </c>
    </row>
    <row r="17" customFormat="false" ht="15" hidden="false" customHeight="false" outlineLevel="0" collapsed="false">
      <c r="H17" s="78" t="n">
        <v>43770</v>
      </c>
      <c r="I17" s="106" t="n">
        <v>2824.37</v>
      </c>
    </row>
    <row r="18" customFormat="false" ht="15" hidden="false" customHeight="false" outlineLevel="0" collapsed="false">
      <c r="B18" s="109" t="s">
        <v>65</v>
      </c>
      <c r="C18" s="110"/>
      <c r="D18" s="110" t="s">
        <v>66</v>
      </c>
      <c r="E18" s="111" t="n">
        <v>335</v>
      </c>
      <c r="H18" s="78" t="n">
        <v>43800</v>
      </c>
      <c r="I18" s="106" t="n">
        <v>2380.2</v>
      </c>
    </row>
    <row r="19" customFormat="false" ht="15" hidden="false" customHeight="false" outlineLevel="0" collapsed="false">
      <c r="B19" s="91" t="s">
        <v>67</v>
      </c>
      <c r="C19" s="0" t="s">
        <v>68</v>
      </c>
      <c r="D19" s="0" t="s">
        <v>69</v>
      </c>
      <c r="E19" s="93" t="n">
        <f aca="false">E16*1000/E18</f>
        <v>57.01</v>
      </c>
    </row>
    <row r="20" customFormat="false" ht="15" hidden="false" customHeight="false" outlineLevel="0" collapsed="false">
      <c r="B20" s="91" t="s">
        <v>70</v>
      </c>
      <c r="D20" s="0" t="s">
        <v>47</v>
      </c>
      <c r="E20" s="93" t="n">
        <v>1.98</v>
      </c>
      <c r="H20" s="0" t="s">
        <v>39</v>
      </c>
      <c r="I20" s="0" t="n">
        <f aca="false">(SUM(I7:I18))/12</f>
        <v>2388.09</v>
      </c>
    </row>
    <row r="21" customFormat="false" ht="15" hidden="false" customHeight="false" outlineLevel="0" collapsed="false">
      <c r="B21" s="91" t="s">
        <v>71</v>
      </c>
      <c r="C21" s="0" t="s">
        <v>72</v>
      </c>
      <c r="D21" s="0" t="s">
        <v>47</v>
      </c>
      <c r="E21" s="93" t="n">
        <f aca="false">E19*E20</f>
        <v>112.88</v>
      </c>
    </row>
    <row r="22" customFormat="false" ht="15" hidden="false" customHeight="false" outlineLevel="0" collapsed="false">
      <c r="B22" s="91" t="s">
        <v>73</v>
      </c>
      <c r="D22" s="0" t="s">
        <v>74</v>
      </c>
      <c r="E22" s="93" t="n">
        <v>839</v>
      </c>
    </row>
    <row r="23" customFormat="false" ht="15" hidden="false" customHeight="false" outlineLevel="0" collapsed="false">
      <c r="B23" s="91"/>
      <c r="E23" s="97"/>
    </row>
    <row r="24" customFormat="false" ht="15" hidden="false" customHeight="false" outlineLevel="0" collapsed="false">
      <c r="B24" s="94" t="s">
        <v>75</v>
      </c>
      <c r="C24" s="95"/>
      <c r="D24" s="95" t="s">
        <v>74</v>
      </c>
      <c r="E24" s="96" t="n">
        <f aca="false">E22*E19</f>
        <v>47831.39</v>
      </c>
    </row>
    <row r="27" customFormat="false" ht="15" hidden="false" customHeight="false" outlineLevel="0" collapsed="false">
      <c r="B27" s="88" t="s">
        <v>77</v>
      </c>
      <c r="C27" s="88"/>
      <c r="D27" s="88"/>
      <c r="E27" s="88"/>
    </row>
    <row r="29" customFormat="false" ht="15" hidden="false" customHeight="false" outlineLevel="0" collapsed="false">
      <c r="B29" s="0" t="s">
        <v>78</v>
      </c>
      <c r="C29" s="0" t="s">
        <v>79</v>
      </c>
      <c r="D29" s="0" t="s">
        <v>47</v>
      </c>
      <c r="E29" s="89" t="n">
        <f aca="false">E7*0.8</f>
        <v>350.05</v>
      </c>
    </row>
    <row r="30" customFormat="false" ht="15" hidden="false" customHeight="false" outlineLevel="0" collapsed="false">
      <c r="E30" s="18"/>
    </row>
    <row r="31" customFormat="false" ht="15" hidden="false" customHeight="false" outlineLevel="0" collapsed="false">
      <c r="E31" s="18"/>
    </row>
    <row r="32" customFormat="false" ht="15" hidden="false" customHeight="false" outlineLevel="0" collapsed="false">
      <c r="E32" s="18"/>
    </row>
    <row r="33" customFormat="false" ht="15" hidden="false" customHeight="false" outlineLevel="0" collapsed="false">
      <c r="E33" s="18"/>
    </row>
    <row r="34" customFormat="false" ht="15" hidden="false" customHeight="false" outlineLevel="0" collapsed="false">
      <c r="B34" s="109" t="s">
        <v>70</v>
      </c>
      <c r="C34" s="110"/>
      <c r="D34" s="110" t="s">
        <v>47</v>
      </c>
      <c r="E34" s="111" t="n">
        <v>1.98</v>
      </c>
    </row>
    <row r="35" customFormat="false" ht="15" hidden="false" customHeight="false" outlineLevel="0" collapsed="false">
      <c r="B35" s="91" t="s">
        <v>67</v>
      </c>
      <c r="C35" s="0" t="s">
        <v>80</v>
      </c>
      <c r="D35" s="0" t="s">
        <v>69</v>
      </c>
      <c r="E35" s="98" t="n">
        <f aca="false">E29/E34</f>
        <v>176.79</v>
      </c>
    </row>
    <row r="36" customFormat="false" ht="15" hidden="false" customHeight="false" outlineLevel="0" collapsed="false">
      <c r="B36" s="91" t="s">
        <v>81</v>
      </c>
      <c r="D36" s="0" t="s">
        <v>69</v>
      </c>
      <c r="E36" s="98" t="n">
        <v>176</v>
      </c>
    </row>
    <row r="37" customFormat="false" ht="15" hidden="false" customHeight="false" outlineLevel="0" collapsed="false">
      <c r="B37" s="91" t="s">
        <v>65</v>
      </c>
      <c r="D37" s="0" t="s">
        <v>66</v>
      </c>
      <c r="E37" s="93" t="n">
        <v>335</v>
      </c>
    </row>
    <row r="38" customFormat="false" ht="15" hidden="false" customHeight="false" outlineLevel="0" collapsed="false">
      <c r="B38" s="91" t="s">
        <v>82</v>
      </c>
      <c r="C38" s="0" t="s">
        <v>83</v>
      </c>
      <c r="D38" s="0" t="s">
        <v>63</v>
      </c>
      <c r="E38" s="98" t="n">
        <f aca="false">(E36*E37)/1000</f>
        <v>58.96</v>
      </c>
    </row>
    <row r="39" customFormat="false" ht="15" hidden="false" customHeight="false" outlineLevel="0" collapsed="false">
      <c r="B39" s="91"/>
      <c r="E39" s="93"/>
    </row>
    <row r="40" customFormat="false" ht="15" hidden="false" customHeight="false" outlineLevel="0" collapsed="false">
      <c r="B40" s="91" t="s">
        <v>84</v>
      </c>
      <c r="C40" s="0" t="s">
        <v>85</v>
      </c>
      <c r="D40" s="0" t="s">
        <v>40</v>
      </c>
      <c r="E40" s="98" t="n">
        <f aca="false">E38*E12</f>
        <v>88448.84</v>
      </c>
    </row>
    <row r="41" customFormat="false" ht="15" hidden="false" customHeight="false" outlineLevel="0" collapsed="false">
      <c r="B41" s="91" t="s">
        <v>86</v>
      </c>
      <c r="C41" s="0" t="s">
        <v>51</v>
      </c>
      <c r="D41" s="0" t="s">
        <v>40</v>
      </c>
      <c r="E41" s="93" t="n">
        <f aca="false">E9</f>
        <v>28657.08</v>
      </c>
    </row>
    <row r="42" customFormat="false" ht="15" hidden="false" customHeight="false" outlineLevel="0" collapsed="false">
      <c r="B42" s="91"/>
      <c r="E42" s="93"/>
    </row>
    <row r="43" customFormat="false" ht="15" hidden="false" customHeight="false" outlineLevel="0" collapsed="false">
      <c r="B43" s="91" t="s">
        <v>87</v>
      </c>
      <c r="C43" s="0" t="s">
        <v>88</v>
      </c>
      <c r="D43" s="0" t="s">
        <v>89</v>
      </c>
      <c r="E43" s="100" t="n">
        <f aca="false">E41/E40</f>
        <v>0.32</v>
      </c>
    </row>
    <row r="44" customFormat="false" ht="15" hidden="false" customHeight="false" outlineLevel="0" collapsed="false">
      <c r="B44" s="91"/>
      <c r="E44" s="93"/>
    </row>
    <row r="45" customFormat="false" ht="15" hidden="false" customHeight="false" outlineLevel="0" collapsed="false">
      <c r="B45" s="91" t="s">
        <v>73</v>
      </c>
      <c r="D45" s="0" t="s">
        <v>74</v>
      </c>
      <c r="E45" s="93" t="n">
        <v>839</v>
      </c>
    </row>
    <row r="46" customFormat="false" ht="15" hidden="false" customHeight="false" outlineLevel="0" collapsed="false">
      <c r="B46" s="94" t="s">
        <v>75</v>
      </c>
      <c r="C46" s="95"/>
      <c r="D46" s="95" t="s">
        <v>74</v>
      </c>
      <c r="E46" s="101" t="n">
        <f aca="false">E45*E36</f>
        <v>147664</v>
      </c>
    </row>
    <row r="48" customFormat="false" ht="15" hidden="false" customHeight="false" outlineLevel="0" collapsed="false">
      <c r="B48" s="102" t="s">
        <v>90</v>
      </c>
      <c r="C48" s="102"/>
      <c r="D48" s="102"/>
      <c r="E48" s="102"/>
    </row>
    <row r="50" customFormat="false" ht="15" hidden="false" customHeight="false" outlineLevel="0" collapsed="false">
      <c r="B50" s="0" t="s">
        <v>91</v>
      </c>
      <c r="D50" s="0" t="s">
        <v>63</v>
      </c>
      <c r="E50" s="103" t="n">
        <v>30</v>
      </c>
    </row>
    <row r="51" customFormat="false" ht="15" hidden="false" customHeight="false" outlineLevel="0" collapsed="false">
      <c r="D51" s="0" t="s">
        <v>92</v>
      </c>
      <c r="E51" s="93" t="n">
        <v>21339</v>
      </c>
    </row>
    <row r="53" customFormat="false" ht="15" hidden="false" customHeight="false" outlineLevel="0" collapsed="false">
      <c r="B53" s="102" t="s">
        <v>93</v>
      </c>
      <c r="C53" s="102"/>
      <c r="D53" s="102"/>
      <c r="E53" s="102"/>
    </row>
    <row r="55" customFormat="false" ht="15" hidden="false" customHeight="false" outlineLevel="0" collapsed="false">
      <c r="B55" s="0" t="s">
        <v>91</v>
      </c>
      <c r="D55" s="0" t="s">
        <v>63</v>
      </c>
      <c r="E55" s="103" t="n">
        <v>22.5</v>
      </c>
    </row>
    <row r="56" customFormat="false" ht="15" hidden="false" customHeight="false" outlineLevel="0" collapsed="false">
      <c r="D56" s="0" t="s">
        <v>92</v>
      </c>
      <c r="E56" s="93" t="n">
        <v>20989</v>
      </c>
    </row>
    <row r="58" customFormat="false" ht="15" hidden="false" customHeight="false" outlineLevel="0" collapsed="false">
      <c r="B58" s="102" t="s">
        <v>94</v>
      </c>
      <c r="C58" s="102"/>
      <c r="D58" s="102"/>
      <c r="E58" s="102"/>
    </row>
    <row r="60" customFormat="false" ht="15" hidden="false" customHeight="false" outlineLevel="0" collapsed="false">
      <c r="B60" s="0" t="s">
        <v>91</v>
      </c>
      <c r="D60" s="0" t="s">
        <v>63</v>
      </c>
      <c r="E60" s="103" t="n">
        <v>45</v>
      </c>
    </row>
    <row r="61" customFormat="false" ht="15" hidden="false" customHeight="false" outlineLevel="0" collapsed="false">
      <c r="D61" s="0" t="s">
        <v>92</v>
      </c>
      <c r="E61" s="93" t="n">
        <v>29229</v>
      </c>
    </row>
    <row r="63" customFormat="false" ht="15" hidden="false" customHeight="false" outlineLevel="0" collapsed="false">
      <c r="B63" s="88" t="s">
        <v>95</v>
      </c>
      <c r="C63" s="88"/>
      <c r="D63" s="88"/>
      <c r="E63" s="88"/>
    </row>
    <row r="64" customFormat="false" ht="15" hidden="false" customHeight="false" outlineLevel="0" collapsed="false">
      <c r="C64" s="2" t="s">
        <v>96</v>
      </c>
    </row>
    <row r="65" customFormat="false" ht="15" hidden="false" customHeight="false" outlineLevel="0" collapsed="false">
      <c r="B65" s="0" t="s">
        <v>97</v>
      </c>
      <c r="C65" s="2" t="n">
        <v>2</v>
      </c>
      <c r="D65" s="0" t="s">
        <v>63</v>
      </c>
      <c r="E65" s="89" t="n">
        <f aca="false">C65*E55</f>
        <v>45</v>
      </c>
    </row>
    <row r="66" customFormat="false" ht="15" hidden="false" customHeight="false" outlineLevel="0" collapsed="false">
      <c r="E66" s="18"/>
    </row>
    <row r="68" customFormat="false" ht="15" hidden="false" customHeight="false" outlineLevel="0" collapsed="false">
      <c r="B68" s="109" t="s">
        <v>65</v>
      </c>
      <c r="C68" s="110"/>
      <c r="D68" s="110" t="s">
        <v>66</v>
      </c>
      <c r="E68" s="111" t="n">
        <v>335</v>
      </c>
    </row>
    <row r="69" customFormat="false" ht="15" hidden="false" customHeight="false" outlineLevel="0" collapsed="false">
      <c r="B69" s="91" t="s">
        <v>67</v>
      </c>
      <c r="C69" s="0" t="s">
        <v>103</v>
      </c>
      <c r="D69" s="0" t="s">
        <v>69</v>
      </c>
      <c r="E69" s="98" t="n">
        <f aca="false">(E65/E68)*1000</f>
        <v>134.33</v>
      </c>
    </row>
    <row r="70" customFormat="false" ht="15" hidden="false" customHeight="false" outlineLevel="0" collapsed="false">
      <c r="B70" s="91" t="s">
        <v>81</v>
      </c>
      <c r="D70" s="0" t="s">
        <v>69</v>
      </c>
      <c r="E70" s="98" t="n">
        <v>134</v>
      </c>
    </row>
    <row r="71" customFormat="false" ht="15" hidden="false" customHeight="false" outlineLevel="0" collapsed="false">
      <c r="B71" s="91" t="s">
        <v>70</v>
      </c>
      <c r="D71" s="0" t="s">
        <v>47</v>
      </c>
      <c r="E71" s="93" t="n">
        <v>1.98</v>
      </c>
    </row>
    <row r="72" customFormat="false" ht="15" hidden="false" customHeight="false" outlineLevel="0" collapsed="false">
      <c r="B72" s="91" t="s">
        <v>99</v>
      </c>
      <c r="C72" s="0" t="s">
        <v>72</v>
      </c>
      <c r="D72" s="0" t="s">
        <v>47</v>
      </c>
      <c r="E72" s="98" t="n">
        <f aca="false">E71*E70</f>
        <v>265.32</v>
      </c>
    </row>
    <row r="73" customFormat="false" ht="15" hidden="false" customHeight="false" outlineLevel="0" collapsed="false">
      <c r="B73" s="91" t="s">
        <v>99</v>
      </c>
      <c r="D73" s="41" t="s">
        <v>89</v>
      </c>
      <c r="E73" s="100" t="n">
        <f aca="false">E72/E7</f>
        <v>0.61</v>
      </c>
    </row>
    <row r="74" customFormat="false" ht="15" hidden="false" customHeight="false" outlineLevel="0" collapsed="false">
      <c r="B74" s="91"/>
      <c r="D74" s="41"/>
      <c r="E74" s="100"/>
    </row>
    <row r="75" customFormat="false" ht="15" hidden="false" customHeight="false" outlineLevel="0" collapsed="false">
      <c r="B75" s="91" t="s">
        <v>82</v>
      </c>
      <c r="C75" s="0" t="s">
        <v>83</v>
      </c>
      <c r="D75" s="0" t="s">
        <v>63</v>
      </c>
      <c r="E75" s="93" t="n">
        <f aca="false">E70*E68/1000</f>
        <v>44.89</v>
      </c>
    </row>
    <row r="76" customFormat="false" ht="15" hidden="false" customHeight="false" outlineLevel="0" collapsed="false">
      <c r="B76" s="91" t="s">
        <v>84</v>
      </c>
      <c r="C76" s="0" t="s">
        <v>85</v>
      </c>
      <c r="D76" s="0" t="s">
        <v>40</v>
      </c>
      <c r="E76" s="98" t="n">
        <f aca="false">E75*E12</f>
        <v>67341.73</v>
      </c>
    </row>
    <row r="77" customFormat="false" ht="15" hidden="false" customHeight="false" outlineLevel="0" collapsed="false">
      <c r="B77" s="91" t="s">
        <v>86</v>
      </c>
      <c r="C77" s="0" t="s">
        <v>51</v>
      </c>
      <c r="D77" s="0" t="s">
        <v>40</v>
      </c>
      <c r="E77" s="93" t="n">
        <f aca="false">E9</f>
        <v>28657.08</v>
      </c>
    </row>
    <row r="78" customFormat="false" ht="15" hidden="false" customHeight="false" outlineLevel="0" collapsed="false">
      <c r="B78" s="91"/>
      <c r="E78" s="93"/>
    </row>
    <row r="79" customFormat="false" ht="15" hidden="false" customHeight="false" outlineLevel="0" collapsed="false">
      <c r="B79" s="91" t="s">
        <v>87</v>
      </c>
      <c r="C79" s="0" t="s">
        <v>88</v>
      </c>
      <c r="D79" s="0" t="s">
        <v>89</v>
      </c>
      <c r="E79" s="104" t="n">
        <f aca="false">E77/E76</f>
        <v>0.4255</v>
      </c>
      <c r="F79" s="112" t="n">
        <f aca="false">1-E79</f>
        <v>0.5745</v>
      </c>
    </row>
    <row r="80" customFormat="false" ht="15" hidden="false" customHeight="false" outlineLevel="0" collapsed="false">
      <c r="B80" s="91"/>
      <c r="E80" s="93"/>
    </row>
    <row r="81" customFormat="false" ht="15" hidden="false" customHeight="false" outlineLevel="0" collapsed="false">
      <c r="B81" s="91" t="s">
        <v>73</v>
      </c>
      <c r="D81" s="0" t="s">
        <v>74</v>
      </c>
      <c r="E81" s="93" t="n">
        <v>839</v>
      </c>
    </row>
    <row r="82" customFormat="false" ht="15" hidden="false" customHeight="false" outlineLevel="0" collapsed="false">
      <c r="B82" s="91" t="s">
        <v>75</v>
      </c>
      <c r="D82" s="0" t="s">
        <v>74</v>
      </c>
      <c r="E82" s="98" t="n">
        <f aca="false">E70*E81</f>
        <v>112426</v>
      </c>
    </row>
    <row r="83" customFormat="false" ht="15" hidden="false" customHeight="false" outlineLevel="0" collapsed="false">
      <c r="B83" s="91" t="s">
        <v>101</v>
      </c>
      <c r="D83" s="0" t="s">
        <v>74</v>
      </c>
      <c r="E83" s="98" t="n">
        <f aca="false">C65*E56</f>
        <v>41978</v>
      </c>
    </row>
    <row r="84" customFormat="false" ht="15" hidden="false" customHeight="false" outlineLevel="0" collapsed="false">
      <c r="B84" s="94" t="s">
        <v>102</v>
      </c>
      <c r="C84" s="95"/>
      <c r="D84" s="95" t="s">
        <v>74</v>
      </c>
      <c r="E84" s="101" t="n">
        <f aca="false">SUM(E82:E83)</f>
        <v>154404</v>
      </c>
    </row>
  </sheetData>
  <mergeCells count="7">
    <mergeCell ref="B5:E5"/>
    <mergeCell ref="B14:E14"/>
    <mergeCell ref="B27:E27"/>
    <mergeCell ref="B48:E48"/>
    <mergeCell ref="B53:E53"/>
    <mergeCell ref="B58:E58"/>
    <mergeCell ref="B63:E63"/>
  </mergeCells>
  <printOptions headings="false" gridLines="false" gridLinesSet="true" horizontalCentered="false" verticalCentered="false"/>
  <pageMargins left="0" right="0" top="0.39375" bottom="0.39375" header="0" footer="0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I8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40.71"/>
    <col collapsed="false" customWidth="true" hidden="false" outlineLevel="0" max="3" min="3" style="0" width="48.15"/>
    <col collapsed="false" customWidth="true" hidden="false" outlineLevel="0" max="4" min="4" style="0" width="12.14"/>
    <col collapsed="false" customWidth="true" hidden="false" outlineLevel="0" max="5" min="5" style="0" width="19.42"/>
    <col collapsed="false" customWidth="true" hidden="false" outlineLevel="0" max="8" min="6" style="0" width="12.14"/>
    <col collapsed="false" customWidth="true" hidden="false" outlineLevel="0" max="9" min="9" style="0" width="16.14"/>
    <col collapsed="false" customWidth="true" hidden="false" outlineLevel="0" max="64" min="10" style="0" width="9.14"/>
  </cols>
  <sheetData>
    <row r="5" customFormat="false" ht="15" hidden="false" customHeight="false" outlineLevel="0" collapsed="false">
      <c r="B5" s="83" t="s">
        <v>146</v>
      </c>
      <c r="C5" s="83"/>
      <c r="D5" s="83"/>
      <c r="E5" s="83"/>
    </row>
    <row r="6" customFormat="false" ht="15" hidden="false" customHeight="false" outlineLevel="0" collapsed="false">
      <c r="B6" s="0" t="s">
        <v>45</v>
      </c>
      <c r="C6" s="2" t="s">
        <v>35</v>
      </c>
      <c r="I6" s="84" t="str">
        <f aca="false">B5</f>
        <v>QUIRINÓPOLIS</v>
      </c>
    </row>
    <row r="7" customFormat="false" ht="15" hidden="false" customHeight="false" outlineLevel="0" collapsed="false">
      <c r="B7" s="0" t="s">
        <v>46</v>
      </c>
      <c r="D7" s="0" t="s">
        <v>47</v>
      </c>
      <c r="E7" s="18" t="n">
        <v>826.5</v>
      </c>
      <c r="H7" s="78" t="n">
        <v>43466</v>
      </c>
      <c r="I7" s="106" t="n">
        <v>2721</v>
      </c>
    </row>
    <row r="8" customFormat="false" ht="15" hidden="false" customHeight="false" outlineLevel="0" collapsed="false">
      <c r="B8" s="0" t="s">
        <v>48</v>
      </c>
      <c r="E8" s="18" t="s">
        <v>147</v>
      </c>
      <c r="H8" s="78" t="n">
        <v>43497</v>
      </c>
      <c r="I8" s="106" t="n">
        <v>3414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I20*12</f>
        <v>37580.66</v>
      </c>
      <c r="H9" s="78" t="n">
        <v>43525</v>
      </c>
      <c r="I9" s="106" t="n">
        <v>2937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5.23</v>
      </c>
      <c r="H10" s="78" t="n">
        <v>43556</v>
      </c>
      <c r="I10" s="106" t="n">
        <v>3782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0.75</v>
      </c>
      <c r="H11" s="78" t="n">
        <v>43586</v>
      </c>
      <c r="I11" s="106" t="n">
        <v>3145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1431.71</v>
      </c>
      <c r="H12" s="78" t="n">
        <v>43617</v>
      </c>
      <c r="I12" s="106" t="n">
        <v>2535</v>
      </c>
    </row>
    <row r="13" customFormat="false" ht="15" hidden="false" customHeight="false" outlineLevel="0" collapsed="false">
      <c r="H13" s="78" t="n">
        <v>43647</v>
      </c>
      <c r="I13" s="106" t="n">
        <v>2424</v>
      </c>
    </row>
    <row r="14" customFormat="false" ht="15" hidden="false" customHeight="false" outlineLevel="0" collapsed="false">
      <c r="B14" s="88" t="s">
        <v>60</v>
      </c>
      <c r="C14" s="88"/>
      <c r="D14" s="88"/>
      <c r="E14" s="88"/>
      <c r="H14" s="78" t="n">
        <v>43678</v>
      </c>
      <c r="I14" s="106" t="n">
        <v>2177</v>
      </c>
    </row>
    <row r="15" customFormat="false" ht="15" hidden="false" customHeight="false" outlineLevel="0" collapsed="false">
      <c r="H15" s="78" t="n">
        <v>43709</v>
      </c>
      <c r="I15" s="106" t="n">
        <v>3133</v>
      </c>
    </row>
    <row r="16" customFormat="false" ht="15" hidden="false" customHeight="false" outlineLevel="0" collapsed="false">
      <c r="B16" s="0" t="s">
        <v>61</v>
      </c>
      <c r="C16" s="0" t="s">
        <v>62</v>
      </c>
      <c r="D16" s="0" t="s">
        <v>63</v>
      </c>
      <c r="E16" s="89" t="n">
        <f aca="false">E9/E12</f>
        <v>26.25</v>
      </c>
      <c r="H16" s="78" t="n">
        <v>43739</v>
      </c>
      <c r="I16" s="106" t="n">
        <v>4615</v>
      </c>
    </row>
    <row r="17" customFormat="false" ht="15" hidden="false" customHeight="false" outlineLevel="0" collapsed="false">
      <c r="H17" s="78" t="n">
        <v>43770</v>
      </c>
      <c r="I17" s="106" t="n">
        <v>3548</v>
      </c>
    </row>
    <row r="18" customFormat="false" ht="15" hidden="false" customHeight="false" outlineLevel="0" collapsed="false">
      <c r="B18" s="109" t="s">
        <v>65</v>
      </c>
      <c r="C18" s="110"/>
      <c r="D18" s="110" t="s">
        <v>66</v>
      </c>
      <c r="E18" s="111" t="n">
        <v>335</v>
      </c>
      <c r="H18" s="78" t="n">
        <v>43800</v>
      </c>
      <c r="I18" s="106" t="n">
        <v>3149.66</v>
      </c>
    </row>
    <row r="19" customFormat="false" ht="15" hidden="false" customHeight="false" outlineLevel="0" collapsed="false">
      <c r="B19" s="91" t="s">
        <v>67</v>
      </c>
      <c r="C19" s="0" t="s">
        <v>68</v>
      </c>
      <c r="D19" s="0" t="s">
        <v>69</v>
      </c>
      <c r="E19" s="93" t="n">
        <f aca="false">E16*1000/E18</f>
        <v>78.36</v>
      </c>
    </row>
    <row r="20" customFormat="false" ht="15" hidden="false" customHeight="false" outlineLevel="0" collapsed="false">
      <c r="B20" s="91" t="s">
        <v>70</v>
      </c>
      <c r="D20" s="0" t="s">
        <v>47</v>
      </c>
      <c r="E20" s="93" t="n">
        <v>1.98</v>
      </c>
      <c r="H20" s="0" t="s">
        <v>39</v>
      </c>
      <c r="I20" s="0" t="n">
        <f aca="false">(SUM(I7:I18))/12</f>
        <v>3131.72166666667</v>
      </c>
    </row>
    <row r="21" customFormat="false" ht="15" hidden="false" customHeight="false" outlineLevel="0" collapsed="false">
      <c r="B21" s="91" t="s">
        <v>71</v>
      </c>
      <c r="C21" s="0" t="s">
        <v>72</v>
      </c>
      <c r="D21" s="0" t="s">
        <v>47</v>
      </c>
      <c r="E21" s="93" t="n">
        <f aca="false">E19*E20</f>
        <v>155.15</v>
      </c>
    </row>
    <row r="22" customFormat="false" ht="15" hidden="false" customHeight="false" outlineLevel="0" collapsed="false">
      <c r="B22" s="91" t="s">
        <v>73</v>
      </c>
      <c r="D22" s="0" t="s">
        <v>74</v>
      </c>
      <c r="E22" s="93" t="n">
        <v>839</v>
      </c>
    </row>
    <row r="23" customFormat="false" ht="15" hidden="false" customHeight="false" outlineLevel="0" collapsed="false">
      <c r="B23" s="91"/>
      <c r="E23" s="97"/>
    </row>
    <row r="24" customFormat="false" ht="15" hidden="false" customHeight="false" outlineLevel="0" collapsed="false">
      <c r="B24" s="94" t="s">
        <v>75</v>
      </c>
      <c r="C24" s="95"/>
      <c r="D24" s="95" t="s">
        <v>74</v>
      </c>
      <c r="E24" s="96" t="n">
        <f aca="false">E22*E19</f>
        <v>65744.04</v>
      </c>
    </row>
    <row r="27" customFormat="false" ht="15" hidden="false" customHeight="false" outlineLevel="0" collapsed="false">
      <c r="B27" s="88" t="s">
        <v>77</v>
      </c>
      <c r="C27" s="88"/>
      <c r="D27" s="88"/>
      <c r="E27" s="88"/>
    </row>
    <row r="29" customFormat="false" ht="15" hidden="false" customHeight="false" outlineLevel="0" collapsed="false">
      <c r="B29" s="0" t="s">
        <v>78</v>
      </c>
      <c r="C29" s="0" t="s">
        <v>79</v>
      </c>
      <c r="D29" s="0" t="s">
        <v>47</v>
      </c>
      <c r="E29" s="89" t="n">
        <f aca="false">E7*0.8</f>
        <v>661.2</v>
      </c>
    </row>
    <row r="30" customFormat="false" ht="15" hidden="false" customHeight="false" outlineLevel="0" collapsed="false">
      <c r="E30" s="18"/>
    </row>
    <row r="31" customFormat="false" ht="15" hidden="false" customHeight="false" outlineLevel="0" collapsed="false">
      <c r="E31" s="18"/>
    </row>
    <row r="32" customFormat="false" ht="15" hidden="false" customHeight="false" outlineLevel="0" collapsed="false">
      <c r="E32" s="18"/>
    </row>
    <row r="33" customFormat="false" ht="15" hidden="false" customHeight="false" outlineLevel="0" collapsed="false">
      <c r="E33" s="18"/>
    </row>
    <row r="34" customFormat="false" ht="15" hidden="false" customHeight="false" outlineLevel="0" collapsed="false">
      <c r="B34" s="109" t="s">
        <v>70</v>
      </c>
      <c r="C34" s="110"/>
      <c r="D34" s="110" t="s">
        <v>47</v>
      </c>
      <c r="E34" s="111" t="n">
        <v>1.98</v>
      </c>
    </row>
    <row r="35" customFormat="false" ht="15" hidden="false" customHeight="false" outlineLevel="0" collapsed="false">
      <c r="B35" s="91" t="s">
        <v>67</v>
      </c>
      <c r="C35" s="0" t="s">
        <v>80</v>
      </c>
      <c r="D35" s="0" t="s">
        <v>69</v>
      </c>
      <c r="E35" s="98" t="n">
        <f aca="false">E29/E34</f>
        <v>333.94</v>
      </c>
    </row>
    <row r="36" customFormat="false" ht="15" hidden="false" customHeight="false" outlineLevel="0" collapsed="false">
      <c r="B36" s="91" t="s">
        <v>81</v>
      </c>
      <c r="D36" s="0" t="s">
        <v>69</v>
      </c>
      <c r="E36" s="98" t="n">
        <v>333</v>
      </c>
    </row>
    <row r="37" customFormat="false" ht="15" hidden="false" customHeight="false" outlineLevel="0" collapsed="false">
      <c r="B37" s="91" t="s">
        <v>65</v>
      </c>
      <c r="D37" s="0" t="s">
        <v>66</v>
      </c>
      <c r="E37" s="93" t="n">
        <v>335</v>
      </c>
    </row>
    <row r="38" customFormat="false" ht="15" hidden="false" customHeight="false" outlineLevel="0" collapsed="false">
      <c r="B38" s="91" t="s">
        <v>82</v>
      </c>
      <c r="C38" s="0" t="s">
        <v>83</v>
      </c>
      <c r="D38" s="0" t="s">
        <v>63</v>
      </c>
      <c r="E38" s="98" t="n">
        <f aca="false">(E36*E37)/1000</f>
        <v>111.56</v>
      </c>
    </row>
    <row r="39" customFormat="false" ht="15" hidden="false" customHeight="false" outlineLevel="0" collapsed="false">
      <c r="B39" s="91"/>
      <c r="E39" s="93"/>
    </row>
    <row r="40" customFormat="false" ht="15" hidden="false" customHeight="false" outlineLevel="0" collapsed="false">
      <c r="B40" s="91" t="s">
        <v>84</v>
      </c>
      <c r="C40" s="0" t="s">
        <v>85</v>
      </c>
      <c r="D40" s="0" t="s">
        <v>40</v>
      </c>
      <c r="E40" s="98" t="n">
        <f aca="false">E38*E12</f>
        <v>159721.57</v>
      </c>
    </row>
    <row r="41" customFormat="false" ht="15" hidden="false" customHeight="false" outlineLevel="0" collapsed="false">
      <c r="B41" s="91" t="s">
        <v>86</v>
      </c>
      <c r="C41" s="0" t="s">
        <v>51</v>
      </c>
      <c r="D41" s="0" t="s">
        <v>40</v>
      </c>
      <c r="E41" s="93" t="n">
        <f aca="false">E9</f>
        <v>37580.66</v>
      </c>
    </row>
    <row r="42" customFormat="false" ht="15" hidden="false" customHeight="false" outlineLevel="0" collapsed="false">
      <c r="B42" s="91"/>
      <c r="E42" s="93"/>
    </row>
    <row r="43" customFormat="false" ht="15" hidden="false" customHeight="false" outlineLevel="0" collapsed="false">
      <c r="B43" s="91" t="s">
        <v>87</v>
      </c>
      <c r="C43" s="0" t="s">
        <v>88</v>
      </c>
      <c r="D43" s="0" t="s">
        <v>89</v>
      </c>
      <c r="E43" s="100" t="n">
        <f aca="false">E41/E40</f>
        <v>0.24</v>
      </c>
    </row>
    <row r="44" customFormat="false" ht="15" hidden="false" customHeight="false" outlineLevel="0" collapsed="false">
      <c r="B44" s="91"/>
      <c r="E44" s="93"/>
    </row>
    <row r="45" customFormat="false" ht="15" hidden="false" customHeight="false" outlineLevel="0" collapsed="false">
      <c r="B45" s="91" t="s">
        <v>73</v>
      </c>
      <c r="D45" s="0" t="s">
        <v>74</v>
      </c>
      <c r="E45" s="93" t="n">
        <v>839</v>
      </c>
    </row>
    <row r="46" customFormat="false" ht="15" hidden="false" customHeight="false" outlineLevel="0" collapsed="false">
      <c r="B46" s="94" t="s">
        <v>75</v>
      </c>
      <c r="C46" s="95"/>
      <c r="D46" s="95" t="s">
        <v>74</v>
      </c>
      <c r="E46" s="101" t="n">
        <f aca="false">E45*E36</f>
        <v>279387</v>
      </c>
    </row>
    <row r="48" customFormat="false" ht="15" hidden="false" customHeight="false" outlineLevel="0" collapsed="false">
      <c r="B48" s="102" t="s">
        <v>90</v>
      </c>
      <c r="C48" s="102"/>
      <c r="D48" s="102"/>
      <c r="E48" s="102"/>
    </row>
    <row r="50" customFormat="false" ht="15" hidden="false" customHeight="false" outlineLevel="0" collapsed="false">
      <c r="B50" s="0" t="s">
        <v>91</v>
      </c>
      <c r="D50" s="0" t="s">
        <v>63</v>
      </c>
      <c r="E50" s="103" t="n">
        <v>30</v>
      </c>
    </row>
    <row r="51" customFormat="false" ht="15" hidden="false" customHeight="false" outlineLevel="0" collapsed="false">
      <c r="D51" s="0" t="s">
        <v>92</v>
      </c>
      <c r="E51" s="93" t="n">
        <v>21339</v>
      </c>
    </row>
    <row r="53" customFormat="false" ht="15" hidden="false" customHeight="false" outlineLevel="0" collapsed="false">
      <c r="B53" s="102" t="s">
        <v>93</v>
      </c>
      <c r="C53" s="102"/>
      <c r="D53" s="102"/>
      <c r="E53" s="102"/>
    </row>
    <row r="55" customFormat="false" ht="15" hidden="false" customHeight="false" outlineLevel="0" collapsed="false">
      <c r="B55" s="0" t="s">
        <v>91</v>
      </c>
      <c r="D55" s="0" t="s">
        <v>63</v>
      </c>
      <c r="E55" s="103" t="n">
        <v>22.5</v>
      </c>
    </row>
    <row r="56" customFormat="false" ht="15" hidden="false" customHeight="false" outlineLevel="0" collapsed="false">
      <c r="D56" s="0" t="s">
        <v>92</v>
      </c>
      <c r="E56" s="93" t="n">
        <v>20989</v>
      </c>
    </row>
    <row r="58" customFormat="false" ht="15" hidden="false" customHeight="false" outlineLevel="0" collapsed="false">
      <c r="B58" s="102" t="s">
        <v>94</v>
      </c>
      <c r="C58" s="102"/>
      <c r="D58" s="102"/>
      <c r="E58" s="102"/>
    </row>
    <row r="60" customFormat="false" ht="15" hidden="false" customHeight="false" outlineLevel="0" collapsed="false">
      <c r="B60" s="0" t="s">
        <v>91</v>
      </c>
      <c r="D60" s="0" t="s">
        <v>63</v>
      </c>
      <c r="E60" s="103" t="n">
        <v>45</v>
      </c>
    </row>
    <row r="61" customFormat="false" ht="15" hidden="false" customHeight="false" outlineLevel="0" collapsed="false">
      <c r="D61" s="0" t="s">
        <v>92</v>
      </c>
      <c r="E61" s="93" t="n">
        <v>29229</v>
      </c>
    </row>
    <row r="63" customFormat="false" ht="15" hidden="false" customHeight="false" outlineLevel="0" collapsed="false">
      <c r="B63" s="88" t="s">
        <v>95</v>
      </c>
      <c r="C63" s="88"/>
      <c r="D63" s="88"/>
      <c r="E63" s="88"/>
    </row>
    <row r="64" customFormat="false" ht="15" hidden="false" customHeight="false" outlineLevel="0" collapsed="false">
      <c r="C64" s="2" t="s">
        <v>96</v>
      </c>
    </row>
    <row r="65" customFormat="false" ht="15" hidden="false" customHeight="false" outlineLevel="0" collapsed="false">
      <c r="B65" s="0" t="s">
        <v>97</v>
      </c>
      <c r="C65" s="2" t="n">
        <v>4</v>
      </c>
      <c r="D65" s="0" t="s">
        <v>63</v>
      </c>
      <c r="E65" s="89" t="n">
        <f aca="false">C65*E55</f>
        <v>90</v>
      </c>
    </row>
    <row r="66" customFormat="false" ht="15" hidden="false" customHeight="false" outlineLevel="0" collapsed="false">
      <c r="E66" s="18"/>
    </row>
    <row r="68" customFormat="false" ht="15" hidden="false" customHeight="false" outlineLevel="0" collapsed="false">
      <c r="B68" s="109" t="s">
        <v>65</v>
      </c>
      <c r="C68" s="110"/>
      <c r="D68" s="110" t="s">
        <v>66</v>
      </c>
      <c r="E68" s="111" t="n">
        <v>335</v>
      </c>
    </row>
    <row r="69" customFormat="false" ht="15" hidden="false" customHeight="false" outlineLevel="0" collapsed="false">
      <c r="B69" s="91" t="s">
        <v>67</v>
      </c>
      <c r="C69" s="0" t="s">
        <v>103</v>
      </c>
      <c r="D69" s="0" t="s">
        <v>69</v>
      </c>
      <c r="E69" s="98" t="n">
        <f aca="false">(E65/E68)*1000</f>
        <v>268.66</v>
      </c>
    </row>
    <row r="70" customFormat="false" ht="15" hidden="false" customHeight="false" outlineLevel="0" collapsed="false">
      <c r="B70" s="91" t="s">
        <v>81</v>
      </c>
      <c r="D70" s="0" t="s">
        <v>69</v>
      </c>
      <c r="E70" s="98" t="n">
        <v>268</v>
      </c>
    </row>
    <row r="71" customFormat="false" ht="15" hidden="false" customHeight="false" outlineLevel="0" collapsed="false">
      <c r="B71" s="91" t="s">
        <v>70</v>
      </c>
      <c r="D71" s="0" t="s">
        <v>47</v>
      </c>
      <c r="E71" s="93" t="n">
        <v>1.98</v>
      </c>
    </row>
    <row r="72" customFormat="false" ht="15" hidden="false" customHeight="false" outlineLevel="0" collapsed="false">
      <c r="B72" s="91" t="s">
        <v>99</v>
      </c>
      <c r="C72" s="0" t="s">
        <v>72</v>
      </c>
      <c r="D72" s="0" t="s">
        <v>47</v>
      </c>
      <c r="E72" s="98" t="n">
        <f aca="false">E71*E70</f>
        <v>530.64</v>
      </c>
    </row>
    <row r="73" customFormat="false" ht="15" hidden="false" customHeight="false" outlineLevel="0" collapsed="false">
      <c r="B73" s="91" t="s">
        <v>99</v>
      </c>
      <c r="D73" s="41" t="s">
        <v>89</v>
      </c>
      <c r="E73" s="100" t="n">
        <f aca="false">E72/E7</f>
        <v>0.64</v>
      </c>
    </row>
    <row r="74" customFormat="false" ht="15" hidden="false" customHeight="false" outlineLevel="0" collapsed="false">
      <c r="B74" s="91"/>
      <c r="D74" s="41"/>
      <c r="E74" s="100"/>
    </row>
    <row r="75" customFormat="false" ht="15" hidden="false" customHeight="false" outlineLevel="0" collapsed="false">
      <c r="B75" s="91" t="s">
        <v>82</v>
      </c>
      <c r="C75" s="0" t="s">
        <v>83</v>
      </c>
      <c r="D75" s="0" t="s">
        <v>63</v>
      </c>
      <c r="E75" s="93" t="n">
        <f aca="false">E70*E68/1000</f>
        <v>89.78</v>
      </c>
    </row>
    <row r="76" customFormat="false" ht="15" hidden="false" customHeight="false" outlineLevel="0" collapsed="false">
      <c r="B76" s="91" t="s">
        <v>84</v>
      </c>
      <c r="C76" s="0" t="s">
        <v>85</v>
      </c>
      <c r="D76" s="0" t="s">
        <v>40</v>
      </c>
      <c r="E76" s="98" t="n">
        <f aca="false">E75*E12</f>
        <v>128538.92</v>
      </c>
    </row>
    <row r="77" customFormat="false" ht="15" hidden="false" customHeight="false" outlineLevel="0" collapsed="false">
      <c r="B77" s="91" t="s">
        <v>86</v>
      </c>
      <c r="C77" s="0" t="s">
        <v>51</v>
      </c>
      <c r="D77" s="0" t="s">
        <v>40</v>
      </c>
      <c r="E77" s="93" t="n">
        <f aca="false">E9</f>
        <v>37580.66</v>
      </c>
    </row>
    <row r="78" customFormat="false" ht="15" hidden="false" customHeight="false" outlineLevel="0" collapsed="false">
      <c r="B78" s="91"/>
      <c r="E78" s="93"/>
    </row>
    <row r="79" customFormat="false" ht="15" hidden="false" customHeight="false" outlineLevel="0" collapsed="false">
      <c r="B79" s="91" t="s">
        <v>87</v>
      </c>
      <c r="C79" s="0" t="s">
        <v>88</v>
      </c>
      <c r="D79" s="0" t="s">
        <v>89</v>
      </c>
      <c r="E79" s="104" t="n">
        <f aca="false">E77/E76</f>
        <v>0.2924</v>
      </c>
      <c r="F79" s="112" t="n">
        <f aca="false">1-E79</f>
        <v>0.7076</v>
      </c>
    </row>
    <row r="80" customFormat="false" ht="15" hidden="false" customHeight="false" outlineLevel="0" collapsed="false">
      <c r="B80" s="91"/>
      <c r="E80" s="93"/>
    </row>
    <row r="81" customFormat="false" ht="15" hidden="false" customHeight="false" outlineLevel="0" collapsed="false">
      <c r="B81" s="91" t="s">
        <v>73</v>
      </c>
      <c r="D81" s="0" t="s">
        <v>74</v>
      </c>
      <c r="E81" s="93" t="n">
        <v>839</v>
      </c>
    </row>
    <row r="82" customFormat="false" ht="15" hidden="false" customHeight="false" outlineLevel="0" collapsed="false">
      <c r="B82" s="91" t="s">
        <v>75</v>
      </c>
      <c r="D82" s="0" t="s">
        <v>74</v>
      </c>
      <c r="E82" s="98" t="n">
        <f aca="false">E70*E81</f>
        <v>224852</v>
      </c>
    </row>
    <row r="83" customFormat="false" ht="15" hidden="false" customHeight="false" outlineLevel="0" collapsed="false">
      <c r="B83" s="91" t="s">
        <v>101</v>
      </c>
      <c r="D83" s="0" t="s">
        <v>74</v>
      </c>
      <c r="E83" s="98" t="n">
        <f aca="false">C65*E56</f>
        <v>83956</v>
      </c>
    </row>
    <row r="84" customFormat="false" ht="15" hidden="false" customHeight="false" outlineLevel="0" collapsed="false">
      <c r="B84" s="94" t="s">
        <v>102</v>
      </c>
      <c r="C84" s="95"/>
      <c r="D84" s="95" t="s">
        <v>74</v>
      </c>
      <c r="E84" s="101" t="n">
        <f aca="false">SUM(E82:E83)</f>
        <v>308808</v>
      </c>
    </row>
  </sheetData>
  <mergeCells count="7">
    <mergeCell ref="B5:E5"/>
    <mergeCell ref="B14:E14"/>
    <mergeCell ref="B27:E27"/>
    <mergeCell ref="B48:E48"/>
    <mergeCell ref="B53:E53"/>
    <mergeCell ref="B58:E58"/>
    <mergeCell ref="B63:E63"/>
  </mergeCells>
  <printOptions headings="false" gridLines="false" gridLinesSet="true" horizontalCentered="false" verticalCentered="false"/>
  <pageMargins left="0" right="0" top="0.39375" bottom="0.39375" header="0" footer="0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I8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40.71"/>
    <col collapsed="false" customWidth="true" hidden="false" outlineLevel="0" max="3" min="3" style="0" width="48.15"/>
    <col collapsed="false" customWidth="true" hidden="false" outlineLevel="0" max="4" min="4" style="0" width="12.14"/>
    <col collapsed="false" customWidth="true" hidden="false" outlineLevel="0" max="5" min="5" style="0" width="19.42"/>
    <col collapsed="false" customWidth="true" hidden="false" outlineLevel="0" max="9" min="6" style="0" width="12.14"/>
    <col collapsed="false" customWidth="true" hidden="false" outlineLevel="0" max="64" min="10" style="0" width="9.14"/>
  </cols>
  <sheetData>
    <row r="5" customFormat="false" ht="15" hidden="false" customHeight="false" outlineLevel="0" collapsed="false">
      <c r="B5" s="83" t="s">
        <v>148</v>
      </c>
      <c r="C5" s="83"/>
      <c r="D5" s="83"/>
      <c r="E5" s="83"/>
    </row>
    <row r="6" customFormat="false" ht="15" hidden="false" customHeight="false" outlineLevel="0" collapsed="false">
      <c r="B6" s="0" t="s">
        <v>45</v>
      </c>
      <c r="C6" s="2" t="s">
        <v>35</v>
      </c>
      <c r="I6" s="84" t="str">
        <f aca="false">B5</f>
        <v>RIO_VERDE</v>
      </c>
    </row>
    <row r="7" customFormat="false" ht="15" hidden="false" customHeight="false" outlineLevel="0" collapsed="false">
      <c r="B7" s="0" t="s">
        <v>46</v>
      </c>
      <c r="D7" s="0" t="s">
        <v>47</v>
      </c>
      <c r="E7" s="18" t="n">
        <v>835.25</v>
      </c>
      <c r="H7" s="78" t="n">
        <v>43466</v>
      </c>
      <c r="I7" s="106" t="n">
        <v>6992.86</v>
      </c>
    </row>
    <row r="8" customFormat="false" ht="15" hidden="false" customHeight="false" outlineLevel="0" collapsed="false">
      <c r="B8" s="0" t="s">
        <v>48</v>
      </c>
      <c r="E8" s="18" t="s">
        <v>149</v>
      </c>
      <c r="H8" s="78" t="n">
        <v>43497</v>
      </c>
      <c r="I8" s="106" t="n">
        <v>9195.87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I20*12</f>
        <v>85390.5</v>
      </c>
      <c r="H9" s="78" t="n">
        <v>43525</v>
      </c>
      <c r="I9" s="106" t="n">
        <v>7527.87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5.19</v>
      </c>
      <c r="H10" s="78" t="n">
        <v>43556</v>
      </c>
      <c r="I10" s="106" t="n">
        <v>7064.26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</v>
      </c>
      <c r="H11" s="78" t="n">
        <v>43586</v>
      </c>
      <c r="I11" s="106" t="n">
        <v>7472.74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1326.05</v>
      </c>
      <c r="H12" s="78" t="n">
        <v>43617</v>
      </c>
      <c r="I12" s="106" t="n">
        <v>5431.72</v>
      </c>
    </row>
    <row r="13" customFormat="false" ht="15" hidden="false" customHeight="false" outlineLevel="0" collapsed="false">
      <c r="H13" s="78" t="n">
        <v>43647</v>
      </c>
      <c r="I13" s="106" t="n">
        <v>4587.08</v>
      </c>
    </row>
    <row r="14" customFormat="false" ht="15" hidden="false" customHeight="false" outlineLevel="0" collapsed="false">
      <c r="B14" s="88" t="s">
        <v>60</v>
      </c>
      <c r="C14" s="88"/>
      <c r="D14" s="88"/>
      <c r="E14" s="88"/>
      <c r="H14" s="78" t="n">
        <v>43678</v>
      </c>
      <c r="I14" s="106" t="n">
        <v>6374.48</v>
      </c>
    </row>
    <row r="15" customFormat="false" ht="15" hidden="false" customHeight="false" outlineLevel="0" collapsed="false">
      <c r="H15" s="78" t="n">
        <v>43709</v>
      </c>
      <c r="I15" s="106" t="n">
        <v>8754.15</v>
      </c>
    </row>
    <row r="16" customFormat="false" ht="15" hidden="false" customHeight="false" outlineLevel="0" collapsed="false">
      <c r="B16" s="0" t="s">
        <v>61</v>
      </c>
      <c r="C16" s="0" t="s">
        <v>62</v>
      </c>
      <c r="D16" s="0" t="s">
        <v>63</v>
      </c>
      <c r="E16" s="89" t="n">
        <f aca="false">E9/E12</f>
        <v>64.39</v>
      </c>
      <c r="H16" s="78" t="n">
        <v>43739</v>
      </c>
      <c r="I16" s="106" t="n">
        <v>7699.08</v>
      </c>
    </row>
    <row r="17" customFormat="false" ht="15" hidden="false" customHeight="false" outlineLevel="0" collapsed="false">
      <c r="H17" s="78" t="n">
        <v>43770</v>
      </c>
      <c r="I17" s="106" t="n">
        <v>7464.19</v>
      </c>
    </row>
    <row r="18" customFormat="false" ht="15" hidden="false" customHeight="false" outlineLevel="0" collapsed="false">
      <c r="B18" s="109" t="s">
        <v>65</v>
      </c>
      <c r="C18" s="110"/>
      <c r="D18" s="110" t="s">
        <v>66</v>
      </c>
      <c r="E18" s="111" t="n">
        <v>335</v>
      </c>
      <c r="H18" s="78" t="n">
        <v>43800</v>
      </c>
      <c r="I18" s="106" t="n">
        <v>6826.2</v>
      </c>
    </row>
    <row r="19" customFormat="false" ht="15" hidden="false" customHeight="false" outlineLevel="0" collapsed="false">
      <c r="B19" s="91" t="s">
        <v>67</v>
      </c>
      <c r="C19" s="0" t="s">
        <v>68</v>
      </c>
      <c r="D19" s="0" t="s">
        <v>69</v>
      </c>
      <c r="E19" s="93" t="n">
        <f aca="false">E16*1000/E18</f>
        <v>192.21</v>
      </c>
    </row>
    <row r="20" customFormat="false" ht="15" hidden="false" customHeight="false" outlineLevel="0" collapsed="false">
      <c r="B20" s="91" t="s">
        <v>70</v>
      </c>
      <c r="D20" s="0" t="s">
        <v>47</v>
      </c>
      <c r="E20" s="93" t="n">
        <v>1.98</v>
      </c>
      <c r="H20" s="0" t="s">
        <v>39</v>
      </c>
      <c r="I20" s="0" t="n">
        <f aca="false">(SUM(I7:I18))/12</f>
        <v>7115.875</v>
      </c>
    </row>
    <row r="21" customFormat="false" ht="15" hidden="false" customHeight="false" outlineLevel="0" collapsed="false">
      <c r="B21" s="91" t="s">
        <v>71</v>
      </c>
      <c r="C21" s="0" t="s">
        <v>72</v>
      </c>
      <c r="D21" s="0" t="s">
        <v>47</v>
      </c>
      <c r="E21" s="93" t="n">
        <f aca="false">E19*E20</f>
        <v>380.58</v>
      </c>
    </row>
    <row r="22" customFormat="false" ht="15" hidden="false" customHeight="false" outlineLevel="0" collapsed="false">
      <c r="B22" s="91" t="s">
        <v>73</v>
      </c>
      <c r="D22" s="0" t="s">
        <v>74</v>
      </c>
      <c r="E22" s="93" t="n">
        <v>839</v>
      </c>
    </row>
    <row r="23" customFormat="false" ht="15" hidden="false" customHeight="false" outlineLevel="0" collapsed="false">
      <c r="B23" s="91"/>
      <c r="E23" s="97"/>
    </row>
    <row r="24" customFormat="false" ht="15" hidden="false" customHeight="false" outlineLevel="0" collapsed="false">
      <c r="B24" s="94" t="s">
        <v>75</v>
      </c>
      <c r="C24" s="95"/>
      <c r="D24" s="95" t="s">
        <v>74</v>
      </c>
      <c r="E24" s="96" t="n">
        <f aca="false">E22*E19</f>
        <v>161264.19</v>
      </c>
    </row>
    <row r="27" customFormat="false" ht="15" hidden="false" customHeight="false" outlineLevel="0" collapsed="false">
      <c r="B27" s="88" t="s">
        <v>77</v>
      </c>
      <c r="C27" s="88"/>
      <c r="D27" s="88"/>
      <c r="E27" s="88"/>
    </row>
    <row r="29" customFormat="false" ht="15" hidden="false" customHeight="false" outlineLevel="0" collapsed="false">
      <c r="B29" s="0" t="s">
        <v>78</v>
      </c>
      <c r="C29" s="0" t="s">
        <v>79</v>
      </c>
      <c r="D29" s="0" t="s">
        <v>47</v>
      </c>
      <c r="E29" s="89" t="n">
        <f aca="false">E7*0.8</f>
        <v>668.2</v>
      </c>
    </row>
    <row r="30" customFormat="false" ht="15" hidden="false" customHeight="false" outlineLevel="0" collapsed="false">
      <c r="E30" s="18"/>
    </row>
    <row r="31" customFormat="false" ht="15" hidden="false" customHeight="false" outlineLevel="0" collapsed="false">
      <c r="E31" s="18"/>
    </row>
    <row r="32" customFormat="false" ht="15" hidden="false" customHeight="false" outlineLevel="0" collapsed="false">
      <c r="E32" s="18"/>
    </row>
    <row r="33" customFormat="false" ht="15" hidden="false" customHeight="false" outlineLevel="0" collapsed="false">
      <c r="E33" s="18"/>
    </row>
    <row r="34" customFormat="false" ht="15" hidden="false" customHeight="false" outlineLevel="0" collapsed="false">
      <c r="B34" s="109" t="s">
        <v>70</v>
      </c>
      <c r="C34" s="110"/>
      <c r="D34" s="110" t="s">
        <v>47</v>
      </c>
      <c r="E34" s="111" t="n">
        <v>1.98</v>
      </c>
    </row>
    <row r="35" customFormat="false" ht="15" hidden="false" customHeight="false" outlineLevel="0" collapsed="false">
      <c r="B35" s="91" t="s">
        <v>67</v>
      </c>
      <c r="C35" s="0" t="s">
        <v>80</v>
      </c>
      <c r="D35" s="0" t="s">
        <v>69</v>
      </c>
      <c r="E35" s="98" t="n">
        <f aca="false">E29/E34</f>
        <v>337.47</v>
      </c>
    </row>
    <row r="36" customFormat="false" ht="15" hidden="false" customHeight="false" outlineLevel="0" collapsed="false">
      <c r="B36" s="91" t="s">
        <v>81</v>
      </c>
      <c r="D36" s="0" t="s">
        <v>69</v>
      </c>
      <c r="E36" s="98" t="n">
        <v>337</v>
      </c>
    </row>
    <row r="37" customFormat="false" ht="15" hidden="false" customHeight="false" outlineLevel="0" collapsed="false">
      <c r="B37" s="91" t="s">
        <v>65</v>
      </c>
      <c r="D37" s="0" t="s">
        <v>66</v>
      </c>
      <c r="E37" s="93" t="n">
        <v>335</v>
      </c>
    </row>
    <row r="38" customFormat="false" ht="15" hidden="false" customHeight="false" outlineLevel="0" collapsed="false">
      <c r="B38" s="91" t="s">
        <v>82</v>
      </c>
      <c r="C38" s="0" t="s">
        <v>83</v>
      </c>
      <c r="D38" s="0" t="s">
        <v>63</v>
      </c>
      <c r="E38" s="98" t="n">
        <f aca="false">(E36*E37)/1000</f>
        <v>112.9</v>
      </c>
    </row>
    <row r="39" customFormat="false" ht="15" hidden="false" customHeight="false" outlineLevel="0" collapsed="false">
      <c r="B39" s="91"/>
      <c r="E39" s="93"/>
    </row>
    <row r="40" customFormat="false" ht="15" hidden="false" customHeight="false" outlineLevel="0" collapsed="false">
      <c r="B40" s="91" t="s">
        <v>84</v>
      </c>
      <c r="C40" s="0" t="s">
        <v>85</v>
      </c>
      <c r="D40" s="0" t="s">
        <v>40</v>
      </c>
      <c r="E40" s="98" t="n">
        <f aca="false">E38*E12</f>
        <v>149711.05</v>
      </c>
    </row>
    <row r="41" customFormat="false" ht="15" hidden="false" customHeight="false" outlineLevel="0" collapsed="false">
      <c r="B41" s="91" t="s">
        <v>86</v>
      </c>
      <c r="C41" s="0" t="s">
        <v>51</v>
      </c>
      <c r="D41" s="0" t="s">
        <v>40</v>
      </c>
      <c r="E41" s="93" t="n">
        <f aca="false">E9</f>
        <v>85390.5</v>
      </c>
    </row>
    <row r="42" customFormat="false" ht="15" hidden="false" customHeight="false" outlineLevel="0" collapsed="false">
      <c r="B42" s="91"/>
      <c r="E42" s="93"/>
    </row>
    <row r="43" customFormat="false" ht="15" hidden="false" customHeight="false" outlineLevel="0" collapsed="false">
      <c r="B43" s="91" t="s">
        <v>87</v>
      </c>
      <c r="C43" s="0" t="s">
        <v>88</v>
      </c>
      <c r="D43" s="0" t="s">
        <v>89</v>
      </c>
      <c r="E43" s="100" t="n">
        <f aca="false">E41/E40</f>
        <v>0.57</v>
      </c>
    </row>
    <row r="44" customFormat="false" ht="15" hidden="false" customHeight="false" outlineLevel="0" collapsed="false">
      <c r="B44" s="91"/>
      <c r="E44" s="93"/>
    </row>
    <row r="45" customFormat="false" ht="15" hidden="false" customHeight="false" outlineLevel="0" collapsed="false">
      <c r="B45" s="91" t="s">
        <v>73</v>
      </c>
      <c r="D45" s="0" t="s">
        <v>74</v>
      </c>
      <c r="E45" s="93" t="n">
        <v>839</v>
      </c>
    </row>
    <row r="46" customFormat="false" ht="15" hidden="false" customHeight="false" outlineLevel="0" collapsed="false">
      <c r="B46" s="94" t="s">
        <v>75</v>
      </c>
      <c r="C46" s="95"/>
      <c r="D46" s="95" t="s">
        <v>74</v>
      </c>
      <c r="E46" s="101" t="n">
        <f aca="false">E45*E36</f>
        <v>282743</v>
      </c>
    </row>
    <row r="48" customFormat="false" ht="15" hidden="false" customHeight="false" outlineLevel="0" collapsed="false">
      <c r="B48" s="102" t="s">
        <v>90</v>
      </c>
      <c r="C48" s="102"/>
      <c r="D48" s="102"/>
      <c r="E48" s="102"/>
    </row>
    <row r="50" customFormat="false" ht="15" hidden="false" customHeight="false" outlineLevel="0" collapsed="false">
      <c r="B50" s="0" t="s">
        <v>91</v>
      </c>
      <c r="D50" s="0" t="s">
        <v>63</v>
      </c>
      <c r="E50" s="103" t="n">
        <v>30</v>
      </c>
    </row>
    <row r="51" customFormat="false" ht="15" hidden="false" customHeight="false" outlineLevel="0" collapsed="false">
      <c r="D51" s="0" t="s">
        <v>92</v>
      </c>
      <c r="E51" s="93" t="n">
        <v>21339</v>
      </c>
    </row>
    <row r="53" customFormat="false" ht="15" hidden="false" customHeight="false" outlineLevel="0" collapsed="false">
      <c r="B53" s="102" t="s">
        <v>93</v>
      </c>
      <c r="C53" s="102"/>
      <c r="D53" s="102"/>
      <c r="E53" s="102"/>
    </row>
    <row r="55" customFormat="false" ht="15" hidden="false" customHeight="false" outlineLevel="0" collapsed="false">
      <c r="B55" s="0" t="s">
        <v>91</v>
      </c>
      <c r="D55" s="0" t="s">
        <v>63</v>
      </c>
      <c r="E55" s="103" t="n">
        <v>22.5</v>
      </c>
    </row>
    <row r="56" customFormat="false" ht="15" hidden="false" customHeight="false" outlineLevel="0" collapsed="false">
      <c r="D56" s="0" t="s">
        <v>92</v>
      </c>
      <c r="E56" s="93" t="n">
        <v>20989</v>
      </c>
    </row>
    <row r="58" customFormat="false" ht="15" hidden="false" customHeight="false" outlineLevel="0" collapsed="false">
      <c r="B58" s="102" t="s">
        <v>94</v>
      </c>
      <c r="C58" s="102"/>
      <c r="D58" s="102"/>
      <c r="E58" s="102"/>
    </row>
    <row r="60" customFormat="false" ht="15" hidden="false" customHeight="false" outlineLevel="0" collapsed="false">
      <c r="B60" s="0" t="s">
        <v>91</v>
      </c>
      <c r="D60" s="0" t="s">
        <v>63</v>
      </c>
      <c r="E60" s="103" t="n">
        <v>45</v>
      </c>
    </row>
    <row r="61" customFormat="false" ht="15" hidden="false" customHeight="false" outlineLevel="0" collapsed="false">
      <c r="D61" s="0" t="s">
        <v>92</v>
      </c>
      <c r="E61" s="93" t="n">
        <v>29229</v>
      </c>
    </row>
    <row r="63" customFormat="false" ht="15" hidden="false" customHeight="false" outlineLevel="0" collapsed="false">
      <c r="B63" s="88" t="s">
        <v>95</v>
      </c>
      <c r="C63" s="88"/>
      <c r="D63" s="88"/>
      <c r="E63" s="88"/>
    </row>
    <row r="64" customFormat="false" ht="15" hidden="false" customHeight="false" outlineLevel="0" collapsed="false">
      <c r="C64" s="2" t="s">
        <v>96</v>
      </c>
    </row>
    <row r="65" customFormat="false" ht="15" hidden="false" customHeight="false" outlineLevel="0" collapsed="false">
      <c r="B65" s="0" t="s">
        <v>97</v>
      </c>
      <c r="C65" s="2" t="n">
        <v>4</v>
      </c>
      <c r="D65" s="0" t="s">
        <v>63</v>
      </c>
      <c r="E65" s="89" t="n">
        <f aca="false">C65*E55</f>
        <v>90</v>
      </c>
    </row>
    <row r="66" customFormat="false" ht="15" hidden="false" customHeight="false" outlineLevel="0" collapsed="false">
      <c r="E66" s="18"/>
    </row>
    <row r="68" customFormat="false" ht="15" hidden="false" customHeight="false" outlineLevel="0" collapsed="false">
      <c r="B68" s="109" t="s">
        <v>65</v>
      </c>
      <c r="C68" s="110"/>
      <c r="D68" s="110" t="s">
        <v>66</v>
      </c>
      <c r="E68" s="111" t="n">
        <v>335</v>
      </c>
    </row>
    <row r="69" customFormat="false" ht="15" hidden="false" customHeight="false" outlineLevel="0" collapsed="false">
      <c r="B69" s="91" t="s">
        <v>67</v>
      </c>
      <c r="C69" s="0" t="s">
        <v>103</v>
      </c>
      <c r="D69" s="0" t="s">
        <v>69</v>
      </c>
      <c r="E69" s="98" t="n">
        <f aca="false">(E65/E68)*1000</f>
        <v>268.66</v>
      </c>
    </row>
    <row r="70" customFormat="false" ht="15" hidden="false" customHeight="false" outlineLevel="0" collapsed="false">
      <c r="B70" s="91" t="s">
        <v>81</v>
      </c>
      <c r="D70" s="0" t="s">
        <v>69</v>
      </c>
      <c r="E70" s="98" t="n">
        <v>268</v>
      </c>
    </row>
    <row r="71" customFormat="false" ht="15" hidden="false" customHeight="false" outlineLevel="0" collapsed="false">
      <c r="B71" s="91" t="s">
        <v>70</v>
      </c>
      <c r="D71" s="0" t="s">
        <v>47</v>
      </c>
      <c r="E71" s="93" t="n">
        <v>1.98</v>
      </c>
    </row>
    <row r="72" customFormat="false" ht="15" hidden="false" customHeight="false" outlineLevel="0" collapsed="false">
      <c r="B72" s="91" t="s">
        <v>99</v>
      </c>
      <c r="C72" s="0" t="s">
        <v>72</v>
      </c>
      <c r="D72" s="0" t="s">
        <v>47</v>
      </c>
      <c r="E72" s="98" t="n">
        <f aca="false">E71*E70</f>
        <v>530.64</v>
      </c>
    </row>
    <row r="73" customFormat="false" ht="15" hidden="false" customHeight="false" outlineLevel="0" collapsed="false">
      <c r="B73" s="91" t="s">
        <v>99</v>
      </c>
      <c r="D73" s="41" t="s">
        <v>89</v>
      </c>
      <c r="E73" s="100" t="n">
        <f aca="false">E72/E7</f>
        <v>0.64</v>
      </c>
    </row>
    <row r="74" customFormat="false" ht="15" hidden="false" customHeight="false" outlineLevel="0" collapsed="false">
      <c r="B74" s="91"/>
      <c r="D74" s="41"/>
      <c r="E74" s="100"/>
    </row>
    <row r="75" customFormat="false" ht="15" hidden="false" customHeight="false" outlineLevel="0" collapsed="false">
      <c r="B75" s="91" t="s">
        <v>82</v>
      </c>
      <c r="C75" s="0" t="s">
        <v>83</v>
      </c>
      <c r="D75" s="0" t="s">
        <v>63</v>
      </c>
      <c r="E75" s="93" t="n">
        <f aca="false">E70*E68/1000</f>
        <v>89.78</v>
      </c>
    </row>
    <row r="76" customFormat="false" ht="15" hidden="false" customHeight="false" outlineLevel="0" collapsed="false">
      <c r="B76" s="91" t="s">
        <v>84</v>
      </c>
      <c r="C76" s="0" t="s">
        <v>85</v>
      </c>
      <c r="D76" s="0" t="s">
        <v>40</v>
      </c>
      <c r="E76" s="98" t="n">
        <f aca="false">E75*E12</f>
        <v>119052.77</v>
      </c>
    </row>
    <row r="77" customFormat="false" ht="15" hidden="false" customHeight="false" outlineLevel="0" collapsed="false">
      <c r="B77" s="91" t="s">
        <v>86</v>
      </c>
      <c r="C77" s="0" t="s">
        <v>51</v>
      </c>
      <c r="D77" s="0" t="s">
        <v>40</v>
      </c>
      <c r="E77" s="93" t="n">
        <f aca="false">E9</f>
        <v>85390.5</v>
      </c>
    </row>
    <row r="78" customFormat="false" ht="15" hidden="false" customHeight="false" outlineLevel="0" collapsed="false">
      <c r="B78" s="91"/>
      <c r="E78" s="93"/>
    </row>
    <row r="79" customFormat="false" ht="15" hidden="false" customHeight="false" outlineLevel="0" collapsed="false">
      <c r="B79" s="91" t="s">
        <v>87</v>
      </c>
      <c r="C79" s="0" t="s">
        <v>88</v>
      </c>
      <c r="D79" s="0" t="s">
        <v>89</v>
      </c>
      <c r="E79" s="104" t="n">
        <f aca="false">E77/E76</f>
        <v>0.7172</v>
      </c>
      <c r="F79" s="112" t="n">
        <f aca="false">1-E79</f>
        <v>0.2828</v>
      </c>
    </row>
    <row r="80" customFormat="false" ht="15" hidden="false" customHeight="false" outlineLevel="0" collapsed="false">
      <c r="B80" s="91"/>
      <c r="E80" s="93"/>
    </row>
    <row r="81" customFormat="false" ht="15" hidden="false" customHeight="false" outlineLevel="0" collapsed="false">
      <c r="B81" s="91" t="s">
        <v>73</v>
      </c>
      <c r="D81" s="0" t="s">
        <v>74</v>
      </c>
      <c r="E81" s="93" t="n">
        <v>839</v>
      </c>
    </row>
    <row r="82" customFormat="false" ht="15" hidden="false" customHeight="false" outlineLevel="0" collapsed="false">
      <c r="B82" s="91" t="s">
        <v>75</v>
      </c>
      <c r="D82" s="0" t="s">
        <v>74</v>
      </c>
      <c r="E82" s="98" t="n">
        <f aca="false">E70*E81</f>
        <v>224852</v>
      </c>
    </row>
    <row r="83" customFormat="false" ht="15" hidden="false" customHeight="false" outlineLevel="0" collapsed="false">
      <c r="B83" s="91" t="s">
        <v>101</v>
      </c>
      <c r="D83" s="0" t="s">
        <v>74</v>
      </c>
      <c r="E83" s="98" t="n">
        <f aca="false">C65*E56</f>
        <v>83956</v>
      </c>
    </row>
    <row r="84" customFormat="false" ht="15" hidden="false" customHeight="false" outlineLevel="0" collapsed="false">
      <c r="B84" s="94" t="s">
        <v>102</v>
      </c>
      <c r="C84" s="95"/>
      <c r="D84" s="95" t="s">
        <v>74</v>
      </c>
      <c r="E84" s="101" t="n">
        <f aca="false">SUM(E82:E83)</f>
        <v>308808</v>
      </c>
    </row>
  </sheetData>
  <mergeCells count="7">
    <mergeCell ref="B5:E5"/>
    <mergeCell ref="B14:E14"/>
    <mergeCell ref="B27:E27"/>
    <mergeCell ref="B48:E48"/>
    <mergeCell ref="B53:E53"/>
    <mergeCell ref="B58:E58"/>
    <mergeCell ref="B63:E63"/>
  </mergeCells>
  <printOptions headings="false" gridLines="false" gridLinesSet="true" horizontalCentered="false" verticalCentered="false"/>
  <pageMargins left="0" right="0" top="0.39375" bottom="0.39375" header="0" footer="0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I8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40.71"/>
    <col collapsed="false" customWidth="true" hidden="false" outlineLevel="0" max="3" min="3" style="0" width="48.15"/>
    <col collapsed="false" customWidth="true" hidden="false" outlineLevel="0" max="4" min="4" style="0" width="12.14"/>
    <col collapsed="false" customWidth="true" hidden="false" outlineLevel="0" max="5" min="5" style="0" width="19.42"/>
    <col collapsed="false" customWidth="true" hidden="false" outlineLevel="0" max="9" min="6" style="0" width="12.14"/>
  </cols>
  <sheetData>
    <row r="5" customFormat="false" ht="15" hidden="false" customHeight="false" outlineLevel="0" collapsed="false">
      <c r="B5" s="83" t="s">
        <v>150</v>
      </c>
      <c r="C5" s="83"/>
      <c r="D5" s="83"/>
      <c r="E5" s="83"/>
    </row>
    <row r="6" customFormat="false" ht="45" hidden="false" customHeight="false" outlineLevel="0" collapsed="false">
      <c r="B6" s="0" t="s">
        <v>45</v>
      </c>
      <c r="C6" s="2" t="s">
        <v>24</v>
      </c>
      <c r="I6" s="84" t="str">
        <f aca="false">B5</f>
        <v>SÃO_LUÍS_DE_MONTES_BELOS</v>
      </c>
    </row>
    <row r="7" customFormat="false" ht="15" hidden="false" customHeight="false" outlineLevel="0" collapsed="false">
      <c r="B7" s="0" t="s">
        <v>46</v>
      </c>
      <c r="D7" s="0" t="s">
        <v>47</v>
      </c>
      <c r="E7" s="18" t="n">
        <v>297.3</v>
      </c>
      <c r="H7" s="78" t="n">
        <v>43466</v>
      </c>
      <c r="I7" s="106" t="n">
        <v>1331</v>
      </c>
    </row>
    <row r="8" customFormat="false" ht="15" hidden="false" customHeight="false" outlineLevel="0" collapsed="false">
      <c r="B8" s="0" t="s">
        <v>48</v>
      </c>
      <c r="E8" s="18" t="s">
        <v>151</v>
      </c>
      <c r="H8" s="78" t="n">
        <v>43497</v>
      </c>
      <c r="I8" s="106" t="n">
        <v>1937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I20*12</f>
        <v>23361.33</v>
      </c>
      <c r="H9" s="78" t="n">
        <v>43525</v>
      </c>
      <c r="I9" s="106" t="n">
        <v>1762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5.3</v>
      </c>
      <c r="H10" s="78" t="n">
        <v>43556</v>
      </c>
      <c r="I10" s="106" t="n">
        <v>1698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0.75</v>
      </c>
      <c r="H11" s="78" t="n">
        <v>43586</v>
      </c>
      <c r="I11" s="106" t="n">
        <v>1504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1450.88</v>
      </c>
      <c r="H12" s="78" t="n">
        <v>43617</v>
      </c>
      <c r="I12" s="106" t="n">
        <v>1465</v>
      </c>
    </row>
    <row r="13" customFormat="false" ht="15" hidden="false" customHeight="false" outlineLevel="0" collapsed="false">
      <c r="H13" s="78" t="n">
        <v>43647</v>
      </c>
      <c r="I13" s="106" t="n">
        <v>1495</v>
      </c>
    </row>
    <row r="14" customFormat="false" ht="15" hidden="false" customHeight="false" outlineLevel="0" collapsed="false">
      <c r="B14" s="88" t="s">
        <v>60</v>
      </c>
      <c r="C14" s="88"/>
      <c r="D14" s="88"/>
      <c r="E14" s="88"/>
      <c r="H14" s="78" t="n">
        <v>43678</v>
      </c>
      <c r="I14" s="106" t="n">
        <v>1766</v>
      </c>
    </row>
    <row r="15" customFormat="false" ht="15" hidden="false" customHeight="false" outlineLevel="0" collapsed="false">
      <c r="H15" s="78" t="n">
        <v>43709</v>
      </c>
      <c r="I15" s="106" t="n">
        <v>2806</v>
      </c>
    </row>
    <row r="16" customFormat="false" ht="15" hidden="false" customHeight="false" outlineLevel="0" collapsed="false">
      <c r="B16" s="0" t="s">
        <v>61</v>
      </c>
      <c r="C16" s="0" t="s">
        <v>62</v>
      </c>
      <c r="D16" s="0" t="s">
        <v>63</v>
      </c>
      <c r="E16" s="89" t="n">
        <f aca="false">E9/E12</f>
        <v>16.1</v>
      </c>
      <c r="H16" s="78" t="n">
        <v>43739</v>
      </c>
      <c r="I16" s="106" t="n">
        <v>2866</v>
      </c>
    </row>
    <row r="17" customFormat="false" ht="15" hidden="false" customHeight="false" outlineLevel="0" collapsed="false">
      <c r="H17" s="78" t="n">
        <v>43770</v>
      </c>
      <c r="I17" s="106" t="n">
        <v>2760</v>
      </c>
    </row>
    <row r="18" customFormat="false" ht="15" hidden="false" customHeight="false" outlineLevel="0" collapsed="false">
      <c r="B18" s="109" t="s">
        <v>65</v>
      </c>
      <c r="C18" s="110"/>
      <c r="D18" s="110" t="s">
        <v>66</v>
      </c>
      <c r="E18" s="111" t="n">
        <v>335</v>
      </c>
      <c r="H18" s="78" t="n">
        <v>43800</v>
      </c>
      <c r="I18" s="106" t="n">
        <v>1971.33</v>
      </c>
    </row>
    <row r="19" customFormat="false" ht="15" hidden="false" customHeight="false" outlineLevel="0" collapsed="false">
      <c r="B19" s="91" t="s">
        <v>67</v>
      </c>
      <c r="C19" s="0" t="s">
        <v>68</v>
      </c>
      <c r="D19" s="0" t="s">
        <v>69</v>
      </c>
      <c r="E19" s="93" t="n">
        <f aca="false">E16*1000/E18</f>
        <v>48.06</v>
      </c>
    </row>
    <row r="20" customFormat="false" ht="15" hidden="false" customHeight="false" outlineLevel="0" collapsed="false">
      <c r="B20" s="91" t="s">
        <v>70</v>
      </c>
      <c r="D20" s="0" t="s">
        <v>47</v>
      </c>
      <c r="E20" s="93" t="n">
        <v>1.98</v>
      </c>
      <c r="H20" s="0" t="s">
        <v>39</v>
      </c>
      <c r="I20" s="0" t="n">
        <f aca="false">(SUM(I7:I18))/12</f>
        <v>1946.7775</v>
      </c>
    </row>
    <row r="21" customFormat="false" ht="15" hidden="false" customHeight="false" outlineLevel="0" collapsed="false">
      <c r="B21" s="91" t="s">
        <v>71</v>
      </c>
      <c r="C21" s="0" t="s">
        <v>72</v>
      </c>
      <c r="D21" s="0" t="s">
        <v>47</v>
      </c>
      <c r="E21" s="93" t="n">
        <f aca="false">E19*E20</f>
        <v>95.16</v>
      </c>
    </row>
    <row r="22" customFormat="false" ht="15" hidden="false" customHeight="false" outlineLevel="0" collapsed="false">
      <c r="B22" s="91" t="s">
        <v>73</v>
      </c>
      <c r="D22" s="0" t="s">
        <v>74</v>
      </c>
      <c r="E22" s="93" t="n">
        <v>839</v>
      </c>
    </row>
    <row r="23" customFormat="false" ht="15" hidden="false" customHeight="false" outlineLevel="0" collapsed="false">
      <c r="B23" s="91"/>
      <c r="E23" s="97"/>
    </row>
    <row r="24" customFormat="false" ht="15" hidden="false" customHeight="false" outlineLevel="0" collapsed="false">
      <c r="B24" s="94" t="s">
        <v>75</v>
      </c>
      <c r="C24" s="95"/>
      <c r="D24" s="95" t="s">
        <v>74</v>
      </c>
      <c r="E24" s="96" t="n">
        <f aca="false">E22*E19</f>
        <v>40322.34</v>
      </c>
    </row>
    <row r="27" customFormat="false" ht="15" hidden="false" customHeight="false" outlineLevel="0" collapsed="false">
      <c r="B27" s="88" t="s">
        <v>77</v>
      </c>
      <c r="C27" s="88"/>
      <c r="D27" s="88"/>
      <c r="E27" s="88"/>
    </row>
    <row r="29" customFormat="false" ht="15" hidden="false" customHeight="false" outlineLevel="0" collapsed="false">
      <c r="B29" s="0" t="s">
        <v>78</v>
      </c>
      <c r="C29" s="0" t="s">
        <v>79</v>
      </c>
      <c r="D29" s="0" t="s">
        <v>47</v>
      </c>
      <c r="E29" s="89" t="n">
        <f aca="false">E7*0.8</f>
        <v>237.84</v>
      </c>
    </row>
    <row r="30" customFormat="false" ht="15" hidden="false" customHeight="false" outlineLevel="0" collapsed="false">
      <c r="E30" s="18"/>
    </row>
    <row r="31" customFormat="false" ht="15" hidden="false" customHeight="false" outlineLevel="0" collapsed="false">
      <c r="E31" s="18"/>
    </row>
    <row r="32" customFormat="false" ht="15" hidden="false" customHeight="false" outlineLevel="0" collapsed="false">
      <c r="E32" s="18"/>
    </row>
    <row r="33" customFormat="false" ht="15" hidden="false" customHeight="false" outlineLevel="0" collapsed="false">
      <c r="E33" s="18"/>
    </row>
    <row r="34" customFormat="false" ht="15" hidden="false" customHeight="false" outlineLevel="0" collapsed="false">
      <c r="B34" s="109" t="s">
        <v>70</v>
      </c>
      <c r="C34" s="110"/>
      <c r="D34" s="110" t="s">
        <v>47</v>
      </c>
      <c r="E34" s="111" t="n">
        <v>1.98</v>
      </c>
    </row>
    <row r="35" customFormat="false" ht="15" hidden="false" customHeight="false" outlineLevel="0" collapsed="false">
      <c r="B35" s="91" t="s">
        <v>67</v>
      </c>
      <c r="C35" s="0" t="s">
        <v>80</v>
      </c>
      <c r="D35" s="0" t="s">
        <v>69</v>
      </c>
      <c r="E35" s="98" t="n">
        <f aca="false">E29/E34</f>
        <v>120.12</v>
      </c>
    </row>
    <row r="36" customFormat="false" ht="15" hidden="false" customHeight="false" outlineLevel="0" collapsed="false">
      <c r="B36" s="91" t="s">
        <v>81</v>
      </c>
      <c r="D36" s="0" t="s">
        <v>69</v>
      </c>
      <c r="E36" s="98" t="n">
        <v>120</v>
      </c>
    </row>
    <row r="37" customFormat="false" ht="15" hidden="false" customHeight="false" outlineLevel="0" collapsed="false">
      <c r="B37" s="91" t="s">
        <v>65</v>
      </c>
      <c r="D37" s="0" t="s">
        <v>66</v>
      </c>
      <c r="E37" s="93" t="n">
        <v>335</v>
      </c>
    </row>
    <row r="38" customFormat="false" ht="15" hidden="false" customHeight="false" outlineLevel="0" collapsed="false">
      <c r="B38" s="91" t="s">
        <v>82</v>
      </c>
      <c r="C38" s="0" t="s">
        <v>83</v>
      </c>
      <c r="D38" s="0" t="s">
        <v>63</v>
      </c>
      <c r="E38" s="98" t="n">
        <f aca="false">(E36*E37)/1000</f>
        <v>40.2</v>
      </c>
    </row>
    <row r="39" customFormat="false" ht="15" hidden="false" customHeight="false" outlineLevel="0" collapsed="false">
      <c r="B39" s="91"/>
      <c r="E39" s="93"/>
    </row>
    <row r="40" customFormat="false" ht="15" hidden="false" customHeight="false" outlineLevel="0" collapsed="false">
      <c r="B40" s="91" t="s">
        <v>84</v>
      </c>
      <c r="C40" s="0" t="s">
        <v>85</v>
      </c>
      <c r="D40" s="0" t="s">
        <v>40</v>
      </c>
      <c r="E40" s="98" t="n">
        <f aca="false">E38*E12</f>
        <v>58325.38</v>
      </c>
    </row>
    <row r="41" customFormat="false" ht="15" hidden="false" customHeight="false" outlineLevel="0" collapsed="false">
      <c r="B41" s="91" t="s">
        <v>86</v>
      </c>
      <c r="C41" s="0" t="s">
        <v>51</v>
      </c>
      <c r="D41" s="0" t="s">
        <v>40</v>
      </c>
      <c r="E41" s="93" t="n">
        <f aca="false">E9</f>
        <v>23361.33</v>
      </c>
    </row>
    <row r="42" customFormat="false" ht="15" hidden="false" customHeight="false" outlineLevel="0" collapsed="false">
      <c r="B42" s="91"/>
      <c r="E42" s="93"/>
    </row>
    <row r="43" customFormat="false" ht="15" hidden="false" customHeight="false" outlineLevel="0" collapsed="false">
      <c r="B43" s="91" t="s">
        <v>87</v>
      </c>
      <c r="C43" s="0" t="s">
        <v>88</v>
      </c>
      <c r="D43" s="0" t="s">
        <v>89</v>
      </c>
      <c r="E43" s="100" t="n">
        <f aca="false">E41/E40</f>
        <v>0.4</v>
      </c>
    </row>
    <row r="44" customFormat="false" ht="15" hidden="false" customHeight="false" outlineLevel="0" collapsed="false">
      <c r="B44" s="91"/>
      <c r="E44" s="93"/>
    </row>
    <row r="45" customFormat="false" ht="15" hidden="false" customHeight="false" outlineLevel="0" collapsed="false">
      <c r="B45" s="91" t="s">
        <v>73</v>
      </c>
      <c r="D45" s="0" t="s">
        <v>74</v>
      </c>
      <c r="E45" s="93" t="n">
        <v>839</v>
      </c>
    </row>
    <row r="46" customFormat="false" ht="15" hidden="false" customHeight="false" outlineLevel="0" collapsed="false">
      <c r="B46" s="94" t="s">
        <v>75</v>
      </c>
      <c r="C46" s="95"/>
      <c r="D46" s="95" t="s">
        <v>74</v>
      </c>
      <c r="E46" s="101" t="n">
        <f aca="false">E45*E36</f>
        <v>100680</v>
      </c>
    </row>
    <row r="48" customFormat="false" ht="15" hidden="false" customHeight="false" outlineLevel="0" collapsed="false">
      <c r="B48" s="102" t="s">
        <v>90</v>
      </c>
      <c r="C48" s="102"/>
      <c r="D48" s="102"/>
      <c r="E48" s="102"/>
    </row>
    <row r="50" customFormat="false" ht="15" hidden="false" customHeight="false" outlineLevel="0" collapsed="false">
      <c r="B50" s="0" t="s">
        <v>91</v>
      </c>
      <c r="D50" s="0" t="s">
        <v>63</v>
      </c>
      <c r="E50" s="103" t="n">
        <v>30</v>
      </c>
    </row>
    <row r="51" customFormat="false" ht="15" hidden="false" customHeight="false" outlineLevel="0" collapsed="false">
      <c r="D51" s="0" t="s">
        <v>92</v>
      </c>
      <c r="E51" s="93" t="n">
        <v>21339</v>
      </c>
    </row>
    <row r="53" customFormat="false" ht="15" hidden="false" customHeight="false" outlineLevel="0" collapsed="false">
      <c r="B53" s="102" t="s">
        <v>93</v>
      </c>
      <c r="C53" s="102"/>
      <c r="D53" s="102"/>
      <c r="E53" s="102"/>
    </row>
    <row r="55" customFormat="false" ht="15" hidden="false" customHeight="false" outlineLevel="0" collapsed="false">
      <c r="B55" s="0" t="s">
        <v>91</v>
      </c>
      <c r="D55" s="0" t="s">
        <v>63</v>
      </c>
      <c r="E55" s="103" t="n">
        <v>22.5</v>
      </c>
    </row>
    <row r="56" customFormat="false" ht="15" hidden="false" customHeight="false" outlineLevel="0" collapsed="false">
      <c r="D56" s="0" t="s">
        <v>92</v>
      </c>
      <c r="E56" s="93" t="n">
        <v>20989</v>
      </c>
    </row>
    <row r="58" customFormat="false" ht="15" hidden="false" customHeight="false" outlineLevel="0" collapsed="false">
      <c r="B58" s="102" t="s">
        <v>94</v>
      </c>
      <c r="C58" s="102"/>
      <c r="D58" s="102"/>
      <c r="E58" s="102"/>
    </row>
    <row r="60" customFormat="false" ht="15" hidden="false" customHeight="false" outlineLevel="0" collapsed="false">
      <c r="B60" s="0" t="s">
        <v>91</v>
      </c>
      <c r="D60" s="0" t="s">
        <v>63</v>
      </c>
      <c r="E60" s="103" t="n">
        <v>45</v>
      </c>
    </row>
    <row r="61" customFormat="false" ht="15" hidden="false" customHeight="false" outlineLevel="0" collapsed="false">
      <c r="D61" s="0" t="s">
        <v>92</v>
      </c>
      <c r="E61" s="93" t="n">
        <v>29229</v>
      </c>
    </row>
    <row r="63" customFormat="false" ht="15" hidden="false" customHeight="false" outlineLevel="0" collapsed="false">
      <c r="B63" s="88" t="s">
        <v>95</v>
      </c>
      <c r="C63" s="88"/>
      <c r="D63" s="88"/>
      <c r="E63" s="88"/>
    </row>
    <row r="64" customFormat="false" ht="15" hidden="false" customHeight="false" outlineLevel="0" collapsed="false">
      <c r="C64" s="2" t="s">
        <v>96</v>
      </c>
    </row>
    <row r="65" customFormat="false" ht="15" hidden="false" customHeight="false" outlineLevel="0" collapsed="false">
      <c r="B65" s="0" t="s">
        <v>97</v>
      </c>
      <c r="C65" s="2" t="n">
        <v>2</v>
      </c>
      <c r="D65" s="0" t="s">
        <v>63</v>
      </c>
      <c r="E65" s="89" t="n">
        <f aca="false">C65*E55</f>
        <v>45</v>
      </c>
    </row>
    <row r="66" customFormat="false" ht="15" hidden="false" customHeight="false" outlineLevel="0" collapsed="false">
      <c r="E66" s="18"/>
    </row>
    <row r="68" customFormat="false" ht="15" hidden="false" customHeight="false" outlineLevel="0" collapsed="false">
      <c r="B68" s="109" t="s">
        <v>65</v>
      </c>
      <c r="C68" s="110"/>
      <c r="D68" s="110" t="s">
        <v>66</v>
      </c>
      <c r="E68" s="111" t="n">
        <v>335</v>
      </c>
    </row>
    <row r="69" customFormat="false" ht="15" hidden="false" customHeight="false" outlineLevel="0" collapsed="false">
      <c r="B69" s="91" t="s">
        <v>67</v>
      </c>
      <c r="C69" s="0" t="s">
        <v>103</v>
      </c>
      <c r="D69" s="0" t="s">
        <v>69</v>
      </c>
      <c r="E69" s="98" t="n">
        <f aca="false">(E65/E68)*1000</f>
        <v>134.33</v>
      </c>
    </row>
    <row r="70" customFormat="false" ht="15" hidden="false" customHeight="false" outlineLevel="0" collapsed="false">
      <c r="B70" s="91" t="s">
        <v>81</v>
      </c>
      <c r="D70" s="0" t="s">
        <v>69</v>
      </c>
      <c r="E70" s="98" t="n">
        <v>134</v>
      </c>
    </row>
    <row r="71" customFormat="false" ht="15" hidden="false" customHeight="false" outlineLevel="0" collapsed="false">
      <c r="B71" s="91" t="s">
        <v>70</v>
      </c>
      <c r="D71" s="0" t="s">
        <v>47</v>
      </c>
      <c r="E71" s="93" t="n">
        <v>1.98</v>
      </c>
    </row>
    <row r="72" customFormat="false" ht="15" hidden="false" customHeight="false" outlineLevel="0" collapsed="false">
      <c r="B72" s="91" t="s">
        <v>99</v>
      </c>
      <c r="C72" s="0" t="s">
        <v>72</v>
      </c>
      <c r="D72" s="0" t="s">
        <v>47</v>
      </c>
      <c r="E72" s="98" t="n">
        <f aca="false">E71*E70</f>
        <v>265.32</v>
      </c>
    </row>
    <row r="73" customFormat="false" ht="15" hidden="false" customHeight="false" outlineLevel="0" collapsed="false">
      <c r="B73" s="91" t="s">
        <v>99</v>
      </c>
      <c r="D73" s="41" t="s">
        <v>89</v>
      </c>
      <c r="E73" s="100" t="n">
        <f aca="false">E72/E7</f>
        <v>0.89</v>
      </c>
    </row>
    <row r="74" customFormat="false" ht="15" hidden="false" customHeight="false" outlineLevel="0" collapsed="false">
      <c r="B74" s="91"/>
      <c r="D74" s="41"/>
      <c r="E74" s="100"/>
    </row>
    <row r="75" customFormat="false" ht="15" hidden="false" customHeight="false" outlineLevel="0" collapsed="false">
      <c r="B75" s="91" t="s">
        <v>82</v>
      </c>
      <c r="C75" s="0" t="s">
        <v>83</v>
      </c>
      <c r="D75" s="0" t="s">
        <v>63</v>
      </c>
      <c r="E75" s="93" t="n">
        <f aca="false">E70*E68/1000</f>
        <v>44.89</v>
      </c>
    </row>
    <row r="76" customFormat="false" ht="15" hidden="false" customHeight="false" outlineLevel="0" collapsed="false">
      <c r="B76" s="91" t="s">
        <v>84</v>
      </c>
      <c r="C76" s="0" t="s">
        <v>85</v>
      </c>
      <c r="D76" s="0" t="s">
        <v>40</v>
      </c>
      <c r="E76" s="98" t="n">
        <f aca="false">E75*E12</f>
        <v>65130</v>
      </c>
    </row>
    <row r="77" customFormat="false" ht="15" hidden="false" customHeight="false" outlineLevel="0" collapsed="false">
      <c r="B77" s="91" t="s">
        <v>86</v>
      </c>
      <c r="C77" s="0" t="s">
        <v>51</v>
      </c>
      <c r="D77" s="0" t="s">
        <v>40</v>
      </c>
      <c r="E77" s="93" t="n">
        <f aca="false">E9</f>
        <v>23361.33</v>
      </c>
    </row>
    <row r="78" customFormat="false" ht="15" hidden="false" customHeight="false" outlineLevel="0" collapsed="false">
      <c r="B78" s="91"/>
      <c r="E78" s="93"/>
    </row>
    <row r="79" customFormat="false" ht="15" hidden="false" customHeight="false" outlineLevel="0" collapsed="false">
      <c r="B79" s="91" t="s">
        <v>87</v>
      </c>
      <c r="C79" s="0" t="s">
        <v>88</v>
      </c>
      <c r="D79" s="0" t="s">
        <v>89</v>
      </c>
      <c r="E79" s="104" t="n">
        <f aca="false">E77/E76</f>
        <v>0.3587</v>
      </c>
      <c r="F79" s="112" t="n">
        <f aca="false">1-E79</f>
        <v>0.6413</v>
      </c>
    </row>
    <row r="80" customFormat="false" ht="15" hidden="false" customHeight="false" outlineLevel="0" collapsed="false">
      <c r="B80" s="91"/>
      <c r="E80" s="93"/>
    </row>
    <row r="81" customFormat="false" ht="15" hidden="false" customHeight="false" outlineLevel="0" collapsed="false">
      <c r="B81" s="91" t="s">
        <v>73</v>
      </c>
      <c r="D81" s="0" t="s">
        <v>74</v>
      </c>
      <c r="E81" s="93" t="n">
        <v>839</v>
      </c>
    </row>
    <row r="82" customFormat="false" ht="15" hidden="false" customHeight="false" outlineLevel="0" collapsed="false">
      <c r="B82" s="91" t="s">
        <v>75</v>
      </c>
      <c r="D82" s="0" t="s">
        <v>74</v>
      </c>
      <c r="E82" s="98" t="n">
        <f aca="false">E70*E81</f>
        <v>112426</v>
      </c>
    </row>
    <row r="83" customFormat="false" ht="15" hidden="false" customHeight="false" outlineLevel="0" collapsed="false">
      <c r="B83" s="91" t="s">
        <v>101</v>
      </c>
      <c r="D83" s="0" t="s">
        <v>74</v>
      </c>
      <c r="E83" s="98" t="n">
        <f aca="false">C65*E56</f>
        <v>41978</v>
      </c>
    </row>
    <row r="84" customFormat="false" ht="15" hidden="false" customHeight="false" outlineLevel="0" collapsed="false">
      <c r="B84" s="94" t="s">
        <v>102</v>
      </c>
      <c r="C84" s="95"/>
      <c r="D84" s="95" t="s">
        <v>74</v>
      </c>
      <c r="E84" s="101" t="n">
        <f aca="false">SUM(E82:E83)</f>
        <v>154404</v>
      </c>
    </row>
  </sheetData>
  <mergeCells count="7">
    <mergeCell ref="B5:E5"/>
    <mergeCell ref="B14:E14"/>
    <mergeCell ref="B27:E27"/>
    <mergeCell ref="B48:E48"/>
    <mergeCell ref="B53:E53"/>
    <mergeCell ref="B58:E58"/>
    <mergeCell ref="B63:E63"/>
  </mergeCells>
  <printOptions headings="false" gridLines="false" gridLinesSet="true" horizontalCentered="false" verticalCentered="false"/>
  <pageMargins left="0" right="0" top="0.39375" bottom="0.39375" header="0" footer="0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I8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40.71"/>
    <col collapsed="false" customWidth="true" hidden="false" outlineLevel="0" max="3" min="3" style="0" width="48.15"/>
    <col collapsed="false" customWidth="true" hidden="false" outlineLevel="0" max="4" min="4" style="0" width="12.14"/>
    <col collapsed="false" customWidth="true" hidden="false" outlineLevel="0" max="5" min="5" style="0" width="19.42"/>
    <col collapsed="false" customWidth="true" hidden="false" outlineLevel="0" max="8" min="6" style="0" width="12.14"/>
    <col collapsed="false" customWidth="true" hidden="false" outlineLevel="0" max="9" min="9" style="0" width="10.58"/>
  </cols>
  <sheetData>
    <row r="5" customFormat="false" ht="15" hidden="false" customHeight="false" outlineLevel="0" collapsed="false">
      <c r="B5" s="83" t="s">
        <v>152</v>
      </c>
      <c r="C5" s="83"/>
      <c r="D5" s="83"/>
      <c r="E5" s="83"/>
    </row>
    <row r="6" customFormat="false" ht="15" hidden="false" customHeight="false" outlineLevel="0" collapsed="false">
      <c r="B6" s="0" t="s">
        <v>45</v>
      </c>
      <c r="C6" s="2" t="s">
        <v>35</v>
      </c>
      <c r="I6" s="84" t="str">
        <f aca="false">B5</f>
        <v>URUAÇU</v>
      </c>
    </row>
    <row r="7" customFormat="false" ht="15" hidden="false" customHeight="false" outlineLevel="0" collapsed="false">
      <c r="B7" s="0" t="s">
        <v>46</v>
      </c>
      <c r="D7" s="0" t="s">
        <v>47</v>
      </c>
      <c r="E7" s="18" t="n">
        <v>449.29</v>
      </c>
      <c r="H7" s="78" t="n">
        <v>43466</v>
      </c>
      <c r="I7" s="106" t="n">
        <v>3499.54</v>
      </c>
    </row>
    <row r="8" customFormat="false" ht="15" hidden="false" customHeight="false" outlineLevel="0" collapsed="false">
      <c r="B8" s="0" t="s">
        <v>48</v>
      </c>
      <c r="E8" s="18" t="s">
        <v>153</v>
      </c>
      <c r="H8" s="78" t="n">
        <v>43497</v>
      </c>
      <c r="I8" s="106" t="n">
        <v>4561.21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I20*12</f>
        <v>45234.22</v>
      </c>
      <c r="H9" s="78" t="n">
        <v>43525</v>
      </c>
      <c r="I9" s="106" t="n">
        <v>3477.45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5.3</v>
      </c>
      <c r="H10" s="78" t="n">
        <v>43556</v>
      </c>
      <c r="I10" s="106" t="n">
        <v>3465.38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0.75</v>
      </c>
      <c r="H11" s="78" t="n">
        <v>43586</v>
      </c>
      <c r="I11" s="106" t="n">
        <v>4058.62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1450.88</v>
      </c>
      <c r="H12" s="78" t="n">
        <v>43617</v>
      </c>
      <c r="I12" s="106" t="n">
        <v>3107.22</v>
      </c>
    </row>
    <row r="13" customFormat="false" ht="15" hidden="false" customHeight="false" outlineLevel="0" collapsed="false">
      <c r="H13" s="78" t="n">
        <v>43647</v>
      </c>
      <c r="I13" s="106" t="n">
        <v>2231.61</v>
      </c>
    </row>
    <row r="14" customFormat="false" ht="15" hidden="false" customHeight="false" outlineLevel="0" collapsed="false">
      <c r="B14" s="88" t="s">
        <v>60</v>
      </c>
      <c r="C14" s="88"/>
      <c r="D14" s="88"/>
      <c r="E14" s="88"/>
      <c r="H14" s="78" t="n">
        <v>43678</v>
      </c>
      <c r="I14" s="106" t="n">
        <v>3450.98</v>
      </c>
    </row>
    <row r="15" customFormat="false" ht="15" hidden="false" customHeight="false" outlineLevel="0" collapsed="false">
      <c r="H15" s="78" t="n">
        <v>43709</v>
      </c>
      <c r="I15" s="106" t="n">
        <v>4676.84</v>
      </c>
    </row>
    <row r="16" customFormat="false" ht="15" hidden="false" customHeight="false" outlineLevel="0" collapsed="false">
      <c r="B16" s="0" t="s">
        <v>61</v>
      </c>
      <c r="C16" s="0" t="s">
        <v>62</v>
      </c>
      <c r="D16" s="0" t="s">
        <v>63</v>
      </c>
      <c r="E16" s="89" t="n">
        <f aca="false">E9/E12</f>
        <v>31.18</v>
      </c>
      <c r="H16" s="78" t="n">
        <v>43739</v>
      </c>
      <c r="I16" s="106" t="n">
        <v>4345.44</v>
      </c>
    </row>
    <row r="17" customFormat="false" ht="15" hidden="false" customHeight="false" outlineLevel="0" collapsed="false">
      <c r="H17" s="78" t="n">
        <v>43770</v>
      </c>
      <c r="I17" s="106" t="n">
        <v>4581.11</v>
      </c>
    </row>
    <row r="18" customFormat="false" ht="15" hidden="false" customHeight="false" outlineLevel="0" collapsed="false">
      <c r="B18" s="109" t="s">
        <v>65</v>
      </c>
      <c r="C18" s="110"/>
      <c r="D18" s="110" t="s">
        <v>66</v>
      </c>
      <c r="E18" s="111" t="n">
        <v>335</v>
      </c>
      <c r="H18" s="78" t="n">
        <v>43800</v>
      </c>
      <c r="I18" s="106" t="n">
        <v>3778.82</v>
      </c>
    </row>
    <row r="19" customFormat="false" ht="15" hidden="false" customHeight="false" outlineLevel="0" collapsed="false">
      <c r="B19" s="91" t="s">
        <v>67</v>
      </c>
      <c r="C19" s="0" t="s">
        <v>68</v>
      </c>
      <c r="D19" s="0" t="s">
        <v>69</v>
      </c>
      <c r="E19" s="93" t="n">
        <f aca="false">E16*1000/E18</f>
        <v>93.07</v>
      </c>
    </row>
    <row r="20" customFormat="false" ht="15" hidden="false" customHeight="false" outlineLevel="0" collapsed="false">
      <c r="B20" s="91" t="s">
        <v>70</v>
      </c>
      <c r="D20" s="0" t="s">
        <v>47</v>
      </c>
      <c r="E20" s="93" t="n">
        <v>1.98</v>
      </c>
      <c r="H20" s="0" t="s">
        <v>39</v>
      </c>
      <c r="I20" s="0" t="n">
        <f aca="false">(SUM(I7:I18))/12</f>
        <v>3769.51833333333</v>
      </c>
    </row>
    <row r="21" customFormat="false" ht="15" hidden="false" customHeight="false" outlineLevel="0" collapsed="false">
      <c r="B21" s="91" t="s">
        <v>71</v>
      </c>
      <c r="C21" s="0" t="s">
        <v>72</v>
      </c>
      <c r="D21" s="0" t="s">
        <v>47</v>
      </c>
      <c r="E21" s="93" t="n">
        <f aca="false">E19*E20</f>
        <v>184.28</v>
      </c>
    </row>
    <row r="22" customFormat="false" ht="15" hidden="false" customHeight="false" outlineLevel="0" collapsed="false">
      <c r="B22" s="91" t="s">
        <v>73</v>
      </c>
      <c r="D22" s="0" t="s">
        <v>74</v>
      </c>
      <c r="E22" s="93" t="n">
        <v>839</v>
      </c>
    </row>
    <row r="23" customFormat="false" ht="15" hidden="false" customHeight="false" outlineLevel="0" collapsed="false">
      <c r="B23" s="91"/>
      <c r="E23" s="97"/>
    </row>
    <row r="24" customFormat="false" ht="15" hidden="false" customHeight="false" outlineLevel="0" collapsed="false">
      <c r="B24" s="94" t="s">
        <v>75</v>
      </c>
      <c r="C24" s="95"/>
      <c r="D24" s="95" t="s">
        <v>74</v>
      </c>
      <c r="E24" s="96" t="n">
        <f aca="false">E22*E19</f>
        <v>78085.73</v>
      </c>
    </row>
    <row r="27" customFormat="false" ht="15" hidden="false" customHeight="false" outlineLevel="0" collapsed="false">
      <c r="B27" s="88" t="s">
        <v>77</v>
      </c>
      <c r="C27" s="88"/>
      <c r="D27" s="88"/>
      <c r="E27" s="88"/>
    </row>
    <row r="29" customFormat="false" ht="15" hidden="false" customHeight="false" outlineLevel="0" collapsed="false">
      <c r="B29" s="0" t="s">
        <v>78</v>
      </c>
      <c r="C29" s="0" t="s">
        <v>79</v>
      </c>
      <c r="D29" s="0" t="s">
        <v>47</v>
      </c>
      <c r="E29" s="89" t="n">
        <f aca="false">E7*0.8</f>
        <v>359.43</v>
      </c>
    </row>
    <row r="30" customFormat="false" ht="15" hidden="false" customHeight="false" outlineLevel="0" collapsed="false">
      <c r="E30" s="18"/>
    </row>
    <row r="31" customFormat="false" ht="15" hidden="false" customHeight="false" outlineLevel="0" collapsed="false">
      <c r="E31" s="18"/>
    </row>
    <row r="32" customFormat="false" ht="15" hidden="false" customHeight="false" outlineLevel="0" collapsed="false">
      <c r="E32" s="18"/>
    </row>
    <row r="33" customFormat="false" ht="15" hidden="false" customHeight="false" outlineLevel="0" collapsed="false">
      <c r="E33" s="18"/>
    </row>
    <row r="34" customFormat="false" ht="15" hidden="false" customHeight="false" outlineLevel="0" collapsed="false">
      <c r="B34" s="109" t="s">
        <v>70</v>
      </c>
      <c r="C34" s="110"/>
      <c r="D34" s="110" t="s">
        <v>47</v>
      </c>
      <c r="E34" s="111" t="n">
        <v>1.98</v>
      </c>
    </row>
    <row r="35" customFormat="false" ht="15" hidden="false" customHeight="false" outlineLevel="0" collapsed="false">
      <c r="B35" s="91" t="s">
        <v>67</v>
      </c>
      <c r="C35" s="0" t="s">
        <v>80</v>
      </c>
      <c r="D35" s="0" t="s">
        <v>69</v>
      </c>
      <c r="E35" s="98" t="n">
        <f aca="false">E29/E34</f>
        <v>181.53</v>
      </c>
    </row>
    <row r="36" customFormat="false" ht="15" hidden="false" customHeight="false" outlineLevel="0" collapsed="false">
      <c r="B36" s="91" t="s">
        <v>81</v>
      </c>
      <c r="D36" s="0" t="s">
        <v>69</v>
      </c>
      <c r="E36" s="98" t="n">
        <v>181</v>
      </c>
    </row>
    <row r="37" customFormat="false" ht="15" hidden="false" customHeight="false" outlineLevel="0" collapsed="false">
      <c r="B37" s="91" t="s">
        <v>65</v>
      </c>
      <c r="D37" s="0" t="s">
        <v>66</v>
      </c>
      <c r="E37" s="93" t="n">
        <v>335</v>
      </c>
    </row>
    <row r="38" customFormat="false" ht="15" hidden="false" customHeight="false" outlineLevel="0" collapsed="false">
      <c r="B38" s="91" t="s">
        <v>82</v>
      </c>
      <c r="C38" s="0" t="s">
        <v>83</v>
      </c>
      <c r="D38" s="0" t="s">
        <v>63</v>
      </c>
      <c r="E38" s="98" t="n">
        <f aca="false">(E36*E37)/1000</f>
        <v>60.64</v>
      </c>
    </row>
    <row r="39" customFormat="false" ht="15" hidden="false" customHeight="false" outlineLevel="0" collapsed="false">
      <c r="B39" s="91"/>
      <c r="E39" s="93"/>
    </row>
    <row r="40" customFormat="false" ht="15" hidden="false" customHeight="false" outlineLevel="0" collapsed="false">
      <c r="B40" s="91" t="s">
        <v>84</v>
      </c>
      <c r="C40" s="0" t="s">
        <v>85</v>
      </c>
      <c r="D40" s="0" t="s">
        <v>40</v>
      </c>
      <c r="E40" s="98" t="n">
        <f aca="false">E38*E12</f>
        <v>87981.36</v>
      </c>
    </row>
    <row r="41" customFormat="false" ht="15" hidden="false" customHeight="false" outlineLevel="0" collapsed="false">
      <c r="B41" s="91" t="s">
        <v>86</v>
      </c>
      <c r="C41" s="0" t="s">
        <v>51</v>
      </c>
      <c r="D41" s="0" t="s">
        <v>40</v>
      </c>
      <c r="E41" s="93" t="n">
        <f aca="false">E9</f>
        <v>45234.22</v>
      </c>
    </row>
    <row r="42" customFormat="false" ht="15" hidden="false" customHeight="false" outlineLevel="0" collapsed="false">
      <c r="B42" s="91"/>
      <c r="E42" s="93"/>
    </row>
    <row r="43" customFormat="false" ht="15" hidden="false" customHeight="false" outlineLevel="0" collapsed="false">
      <c r="B43" s="91" t="s">
        <v>87</v>
      </c>
      <c r="C43" s="0" t="s">
        <v>88</v>
      </c>
      <c r="D43" s="0" t="s">
        <v>89</v>
      </c>
      <c r="E43" s="100" t="n">
        <f aca="false">E41/E40</f>
        <v>0.51</v>
      </c>
    </row>
    <row r="44" customFormat="false" ht="15" hidden="false" customHeight="false" outlineLevel="0" collapsed="false">
      <c r="B44" s="91"/>
      <c r="E44" s="93"/>
    </row>
    <row r="45" customFormat="false" ht="15" hidden="false" customHeight="false" outlineLevel="0" collapsed="false">
      <c r="B45" s="91" t="s">
        <v>73</v>
      </c>
      <c r="D45" s="0" t="s">
        <v>74</v>
      </c>
      <c r="E45" s="93" t="n">
        <v>839</v>
      </c>
    </row>
    <row r="46" customFormat="false" ht="15" hidden="false" customHeight="false" outlineLevel="0" collapsed="false">
      <c r="B46" s="94" t="s">
        <v>75</v>
      </c>
      <c r="C46" s="95"/>
      <c r="D46" s="95" t="s">
        <v>74</v>
      </c>
      <c r="E46" s="101" t="n">
        <f aca="false">E45*E36</f>
        <v>151859</v>
      </c>
    </row>
    <row r="48" customFormat="false" ht="15" hidden="false" customHeight="false" outlineLevel="0" collapsed="false">
      <c r="B48" s="102" t="s">
        <v>90</v>
      </c>
      <c r="C48" s="102"/>
      <c r="D48" s="102"/>
      <c r="E48" s="102"/>
    </row>
    <row r="50" customFormat="false" ht="15" hidden="false" customHeight="false" outlineLevel="0" collapsed="false">
      <c r="B50" s="0" t="s">
        <v>91</v>
      </c>
      <c r="D50" s="0" t="s">
        <v>63</v>
      </c>
      <c r="E50" s="103" t="n">
        <v>30</v>
      </c>
    </row>
    <row r="51" customFormat="false" ht="15" hidden="false" customHeight="false" outlineLevel="0" collapsed="false">
      <c r="D51" s="0" t="s">
        <v>92</v>
      </c>
      <c r="E51" s="93" t="n">
        <v>21339</v>
      </c>
    </row>
    <row r="53" customFormat="false" ht="15" hidden="false" customHeight="false" outlineLevel="0" collapsed="false">
      <c r="B53" s="102" t="s">
        <v>93</v>
      </c>
      <c r="C53" s="102"/>
      <c r="D53" s="102"/>
      <c r="E53" s="102"/>
    </row>
    <row r="55" customFormat="false" ht="15" hidden="false" customHeight="false" outlineLevel="0" collapsed="false">
      <c r="B55" s="0" t="s">
        <v>91</v>
      </c>
      <c r="D55" s="0" t="s">
        <v>63</v>
      </c>
      <c r="E55" s="103" t="n">
        <v>22.5</v>
      </c>
    </row>
    <row r="56" customFormat="false" ht="15" hidden="false" customHeight="false" outlineLevel="0" collapsed="false">
      <c r="D56" s="0" t="s">
        <v>92</v>
      </c>
      <c r="E56" s="93" t="n">
        <v>20989</v>
      </c>
    </row>
    <row r="58" customFormat="false" ht="15" hidden="false" customHeight="false" outlineLevel="0" collapsed="false">
      <c r="B58" s="102" t="s">
        <v>94</v>
      </c>
      <c r="C58" s="102"/>
      <c r="D58" s="102"/>
      <c r="E58" s="102"/>
    </row>
    <row r="60" customFormat="false" ht="15" hidden="false" customHeight="false" outlineLevel="0" collapsed="false">
      <c r="B60" s="0" t="s">
        <v>91</v>
      </c>
      <c r="D60" s="0" t="s">
        <v>63</v>
      </c>
      <c r="E60" s="103" t="n">
        <v>45</v>
      </c>
    </row>
    <row r="61" customFormat="false" ht="15" hidden="false" customHeight="false" outlineLevel="0" collapsed="false">
      <c r="D61" s="0" t="s">
        <v>92</v>
      </c>
      <c r="E61" s="93" t="n">
        <v>29229</v>
      </c>
    </row>
    <row r="63" customFormat="false" ht="15" hidden="false" customHeight="false" outlineLevel="0" collapsed="false">
      <c r="B63" s="88" t="s">
        <v>95</v>
      </c>
      <c r="C63" s="88"/>
      <c r="D63" s="88"/>
      <c r="E63" s="88"/>
    </row>
    <row r="64" customFormat="false" ht="15" hidden="false" customHeight="false" outlineLevel="0" collapsed="false">
      <c r="C64" s="2" t="s">
        <v>96</v>
      </c>
    </row>
    <row r="65" customFormat="false" ht="15" hidden="false" customHeight="false" outlineLevel="0" collapsed="false">
      <c r="B65" s="0" t="s">
        <v>97</v>
      </c>
      <c r="C65" s="2" t="n">
        <v>2</v>
      </c>
      <c r="D65" s="0" t="s">
        <v>63</v>
      </c>
      <c r="E65" s="89" t="n">
        <f aca="false">C65*E55</f>
        <v>45</v>
      </c>
    </row>
    <row r="66" customFormat="false" ht="15" hidden="false" customHeight="false" outlineLevel="0" collapsed="false">
      <c r="E66" s="18"/>
    </row>
    <row r="68" customFormat="false" ht="15" hidden="false" customHeight="false" outlineLevel="0" collapsed="false">
      <c r="B68" s="109" t="s">
        <v>65</v>
      </c>
      <c r="C68" s="110"/>
      <c r="D68" s="110" t="s">
        <v>66</v>
      </c>
      <c r="E68" s="111" t="n">
        <v>335</v>
      </c>
    </row>
    <row r="69" customFormat="false" ht="15" hidden="false" customHeight="false" outlineLevel="0" collapsed="false">
      <c r="B69" s="91" t="s">
        <v>67</v>
      </c>
      <c r="C69" s="0" t="s">
        <v>103</v>
      </c>
      <c r="D69" s="0" t="s">
        <v>69</v>
      </c>
      <c r="E69" s="98" t="n">
        <f aca="false">(E65/E68)*1000</f>
        <v>134.33</v>
      </c>
    </row>
    <row r="70" customFormat="false" ht="15" hidden="false" customHeight="false" outlineLevel="0" collapsed="false">
      <c r="B70" s="91" t="s">
        <v>81</v>
      </c>
      <c r="D70" s="0" t="s">
        <v>69</v>
      </c>
      <c r="E70" s="98" t="n">
        <v>134</v>
      </c>
    </row>
    <row r="71" customFormat="false" ht="15" hidden="false" customHeight="false" outlineLevel="0" collapsed="false">
      <c r="B71" s="91" t="s">
        <v>70</v>
      </c>
      <c r="D71" s="0" t="s">
        <v>47</v>
      </c>
      <c r="E71" s="93" t="n">
        <v>1.98</v>
      </c>
    </row>
    <row r="72" customFormat="false" ht="15" hidden="false" customHeight="false" outlineLevel="0" collapsed="false">
      <c r="B72" s="91" t="s">
        <v>99</v>
      </c>
      <c r="C72" s="0" t="s">
        <v>72</v>
      </c>
      <c r="D72" s="0" t="s">
        <v>47</v>
      </c>
      <c r="E72" s="98" t="n">
        <f aca="false">E71*E70</f>
        <v>265.32</v>
      </c>
    </row>
    <row r="73" customFormat="false" ht="15" hidden="false" customHeight="false" outlineLevel="0" collapsed="false">
      <c r="B73" s="91" t="s">
        <v>99</v>
      </c>
      <c r="D73" s="41" t="s">
        <v>89</v>
      </c>
      <c r="E73" s="100" t="n">
        <f aca="false">E72/E7</f>
        <v>0.59</v>
      </c>
    </row>
    <row r="74" customFormat="false" ht="15" hidden="false" customHeight="false" outlineLevel="0" collapsed="false">
      <c r="B74" s="91"/>
      <c r="D74" s="41"/>
      <c r="E74" s="100"/>
    </row>
    <row r="75" customFormat="false" ht="15" hidden="false" customHeight="false" outlineLevel="0" collapsed="false">
      <c r="B75" s="91" t="s">
        <v>82</v>
      </c>
      <c r="C75" s="0" t="s">
        <v>83</v>
      </c>
      <c r="D75" s="0" t="s">
        <v>63</v>
      </c>
      <c r="E75" s="93" t="n">
        <f aca="false">E70*E68/1000</f>
        <v>44.89</v>
      </c>
    </row>
    <row r="76" customFormat="false" ht="15" hidden="false" customHeight="false" outlineLevel="0" collapsed="false">
      <c r="B76" s="91" t="s">
        <v>84</v>
      </c>
      <c r="C76" s="0" t="s">
        <v>85</v>
      </c>
      <c r="D76" s="0" t="s">
        <v>40</v>
      </c>
      <c r="E76" s="98" t="n">
        <f aca="false">E75*E12</f>
        <v>65130</v>
      </c>
    </row>
    <row r="77" customFormat="false" ht="15" hidden="false" customHeight="false" outlineLevel="0" collapsed="false">
      <c r="B77" s="91" t="s">
        <v>86</v>
      </c>
      <c r="C77" s="0" t="s">
        <v>51</v>
      </c>
      <c r="D77" s="0" t="s">
        <v>40</v>
      </c>
      <c r="E77" s="93" t="n">
        <f aca="false">E9</f>
        <v>45234.22</v>
      </c>
    </row>
    <row r="78" customFormat="false" ht="15" hidden="false" customHeight="false" outlineLevel="0" collapsed="false">
      <c r="B78" s="91"/>
      <c r="E78" s="93"/>
    </row>
    <row r="79" customFormat="false" ht="15" hidden="false" customHeight="false" outlineLevel="0" collapsed="false">
      <c r="B79" s="91" t="s">
        <v>87</v>
      </c>
      <c r="C79" s="0" t="s">
        <v>88</v>
      </c>
      <c r="D79" s="0" t="s">
        <v>89</v>
      </c>
      <c r="E79" s="104" t="n">
        <f aca="false">E77/E76</f>
        <v>0.6945</v>
      </c>
      <c r="F79" s="112" t="n">
        <f aca="false">1-E79</f>
        <v>0.3055</v>
      </c>
    </row>
    <row r="80" customFormat="false" ht="15" hidden="false" customHeight="false" outlineLevel="0" collapsed="false">
      <c r="B80" s="91"/>
      <c r="E80" s="93"/>
    </row>
    <row r="81" customFormat="false" ht="15" hidden="false" customHeight="false" outlineLevel="0" collapsed="false">
      <c r="B81" s="91" t="s">
        <v>73</v>
      </c>
      <c r="D81" s="0" t="s">
        <v>74</v>
      </c>
      <c r="E81" s="93" t="n">
        <v>839</v>
      </c>
    </row>
    <row r="82" customFormat="false" ht="15" hidden="false" customHeight="false" outlineLevel="0" collapsed="false">
      <c r="B82" s="91" t="s">
        <v>75</v>
      </c>
      <c r="D82" s="0" t="s">
        <v>74</v>
      </c>
      <c r="E82" s="98" t="n">
        <f aca="false">E70*E81</f>
        <v>112426</v>
      </c>
    </row>
    <row r="83" customFormat="false" ht="15" hidden="false" customHeight="false" outlineLevel="0" collapsed="false">
      <c r="B83" s="91" t="s">
        <v>101</v>
      </c>
      <c r="D83" s="0" t="s">
        <v>74</v>
      </c>
      <c r="E83" s="98" t="n">
        <f aca="false">C65*E56</f>
        <v>41978</v>
      </c>
    </row>
    <row r="84" customFormat="false" ht="15" hidden="false" customHeight="false" outlineLevel="0" collapsed="false">
      <c r="B84" s="94" t="s">
        <v>102</v>
      </c>
      <c r="C84" s="95"/>
      <c r="D84" s="95" t="s">
        <v>74</v>
      </c>
      <c r="E84" s="101" t="n">
        <f aca="false">SUM(E82:E83)</f>
        <v>154404</v>
      </c>
    </row>
  </sheetData>
  <mergeCells count="7">
    <mergeCell ref="B5:E5"/>
    <mergeCell ref="B14:E14"/>
    <mergeCell ref="B27:E27"/>
    <mergeCell ref="B48:E48"/>
    <mergeCell ref="B53:E53"/>
    <mergeCell ref="B58:E58"/>
    <mergeCell ref="B63:E63"/>
  </mergeCells>
  <printOptions headings="false" gridLines="false" gridLinesSet="true" horizontalCentered="false" verticalCentered="false"/>
  <pageMargins left="0" right="0" top="0.39375" bottom="0.39375" header="0" footer="0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I8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40.71"/>
    <col collapsed="false" customWidth="true" hidden="false" outlineLevel="0" max="3" min="3" style="0" width="48.15"/>
    <col collapsed="false" customWidth="true" hidden="false" outlineLevel="0" max="4" min="4" style="0" width="12.14"/>
    <col collapsed="false" customWidth="true" hidden="false" outlineLevel="0" max="5" min="5" style="0" width="19.42"/>
    <col collapsed="false" customWidth="true" hidden="false" outlineLevel="0" max="9" min="6" style="0" width="12.14"/>
    <col collapsed="false" customWidth="true" hidden="false" outlineLevel="0" max="64" min="10" style="0" width="9.14"/>
  </cols>
  <sheetData>
    <row r="5" customFormat="false" ht="15" hidden="false" customHeight="false" outlineLevel="0" collapsed="false">
      <c r="B5" s="83" t="s">
        <v>154</v>
      </c>
      <c r="C5" s="83"/>
      <c r="D5" s="83"/>
      <c r="E5" s="83"/>
    </row>
    <row r="6" customFormat="false" ht="30" hidden="false" customHeight="false" outlineLevel="0" collapsed="false">
      <c r="B6" s="0" t="s">
        <v>45</v>
      </c>
      <c r="C6" s="2" t="s">
        <v>35</v>
      </c>
      <c r="I6" s="84" t="str">
        <f aca="false">B5</f>
        <v>VALPARAÍSO</v>
      </c>
    </row>
    <row r="7" customFormat="false" ht="15" hidden="false" customHeight="false" outlineLevel="0" collapsed="false">
      <c r="B7" s="0" t="s">
        <v>46</v>
      </c>
      <c r="D7" s="0" t="s">
        <v>47</v>
      </c>
      <c r="E7" s="18" t="n">
        <v>515.7</v>
      </c>
      <c r="H7" s="78" t="n">
        <v>43466</v>
      </c>
      <c r="I7" s="106" t="n">
        <v>3858.68</v>
      </c>
    </row>
    <row r="8" customFormat="false" ht="15" hidden="false" customHeight="false" outlineLevel="0" collapsed="false">
      <c r="B8" s="0" t="s">
        <v>48</v>
      </c>
      <c r="E8" s="18" t="s">
        <v>155</v>
      </c>
      <c r="H8" s="78" t="n">
        <v>43497</v>
      </c>
      <c r="I8" s="106" t="n">
        <v>5356.24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I20*12</f>
        <v>54130.74</v>
      </c>
      <c r="H9" s="78" t="n">
        <v>43525</v>
      </c>
      <c r="I9" s="106" t="n">
        <v>4584.3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5.28</v>
      </c>
      <c r="H10" s="78" t="n">
        <v>43556</v>
      </c>
      <c r="I10" s="106" t="n">
        <v>4248.16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0.75</v>
      </c>
      <c r="H11" s="78" t="n">
        <v>43586</v>
      </c>
      <c r="I11" s="106" t="n">
        <v>4629.08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1445.4</v>
      </c>
      <c r="H12" s="78" t="n">
        <v>43617</v>
      </c>
      <c r="I12" s="106" t="n">
        <v>4095.32</v>
      </c>
    </row>
    <row r="13" customFormat="false" ht="15" hidden="false" customHeight="false" outlineLevel="0" collapsed="false">
      <c r="H13" s="78" t="n">
        <v>43647</v>
      </c>
      <c r="I13" s="106" t="n">
        <v>3745.39</v>
      </c>
    </row>
    <row r="14" customFormat="false" ht="15" hidden="false" customHeight="false" outlineLevel="0" collapsed="false">
      <c r="B14" s="88" t="s">
        <v>60</v>
      </c>
      <c r="C14" s="88"/>
      <c r="D14" s="88"/>
      <c r="E14" s="88"/>
      <c r="H14" s="78" t="n">
        <v>43678</v>
      </c>
      <c r="I14" s="106" t="n">
        <v>4034.51</v>
      </c>
    </row>
    <row r="15" customFormat="false" ht="15" hidden="false" customHeight="false" outlineLevel="0" collapsed="false">
      <c r="H15" s="78" t="n">
        <v>43709</v>
      </c>
      <c r="I15" s="106" t="n">
        <v>5112.02</v>
      </c>
    </row>
    <row r="16" customFormat="false" ht="15" hidden="false" customHeight="false" outlineLevel="0" collapsed="false">
      <c r="B16" s="0" t="s">
        <v>61</v>
      </c>
      <c r="C16" s="0" t="s">
        <v>62</v>
      </c>
      <c r="D16" s="0" t="s">
        <v>63</v>
      </c>
      <c r="E16" s="89" t="n">
        <f aca="false">E9/E12</f>
        <v>37.45</v>
      </c>
      <c r="H16" s="78" t="n">
        <v>43739</v>
      </c>
      <c r="I16" s="106" t="n">
        <v>5013.22</v>
      </c>
    </row>
    <row r="17" customFormat="false" ht="15" hidden="false" customHeight="false" outlineLevel="0" collapsed="false">
      <c r="H17" s="78" t="n">
        <v>43770</v>
      </c>
      <c r="I17" s="106" t="n">
        <v>4968.86</v>
      </c>
    </row>
    <row r="18" customFormat="false" ht="15" hidden="false" customHeight="false" outlineLevel="0" collapsed="false">
      <c r="B18" s="109" t="s">
        <v>65</v>
      </c>
      <c r="C18" s="110"/>
      <c r="D18" s="110" t="s">
        <v>66</v>
      </c>
      <c r="E18" s="111" t="n">
        <v>335</v>
      </c>
      <c r="H18" s="78" t="n">
        <v>43800</v>
      </c>
      <c r="I18" s="106" t="n">
        <v>4484.96</v>
      </c>
    </row>
    <row r="19" customFormat="false" ht="15" hidden="false" customHeight="false" outlineLevel="0" collapsed="false">
      <c r="B19" s="91" t="s">
        <v>67</v>
      </c>
      <c r="C19" s="0" t="s">
        <v>68</v>
      </c>
      <c r="D19" s="0" t="s">
        <v>69</v>
      </c>
      <c r="E19" s="93" t="n">
        <f aca="false">E16*1000/E18</f>
        <v>111.79</v>
      </c>
    </row>
    <row r="20" customFormat="false" ht="15" hidden="false" customHeight="false" outlineLevel="0" collapsed="false">
      <c r="B20" s="91" t="s">
        <v>70</v>
      </c>
      <c r="D20" s="0" t="s">
        <v>47</v>
      </c>
      <c r="E20" s="93" t="n">
        <v>1.98</v>
      </c>
      <c r="H20" s="0" t="s">
        <v>39</v>
      </c>
      <c r="I20" s="0" t="n">
        <f aca="false">(SUM(I7:I18))/12</f>
        <v>4510.895</v>
      </c>
    </row>
    <row r="21" customFormat="false" ht="15" hidden="false" customHeight="false" outlineLevel="0" collapsed="false">
      <c r="B21" s="91" t="s">
        <v>71</v>
      </c>
      <c r="C21" s="0" t="s">
        <v>72</v>
      </c>
      <c r="D21" s="0" t="s">
        <v>47</v>
      </c>
      <c r="E21" s="93" t="n">
        <f aca="false">E19*E20</f>
        <v>221.34</v>
      </c>
    </row>
    <row r="22" customFormat="false" ht="15" hidden="false" customHeight="false" outlineLevel="0" collapsed="false">
      <c r="B22" s="91" t="s">
        <v>73</v>
      </c>
      <c r="D22" s="0" t="s">
        <v>74</v>
      </c>
      <c r="E22" s="93" t="n">
        <v>839</v>
      </c>
    </row>
    <row r="23" customFormat="false" ht="15" hidden="false" customHeight="false" outlineLevel="0" collapsed="false">
      <c r="B23" s="91"/>
      <c r="E23" s="97"/>
    </row>
    <row r="24" customFormat="false" ht="15" hidden="false" customHeight="false" outlineLevel="0" collapsed="false">
      <c r="B24" s="94" t="s">
        <v>75</v>
      </c>
      <c r="C24" s="95"/>
      <c r="D24" s="95" t="s">
        <v>74</v>
      </c>
      <c r="E24" s="96" t="n">
        <f aca="false">E22*E19</f>
        <v>93791.81</v>
      </c>
    </row>
    <row r="27" customFormat="false" ht="15" hidden="false" customHeight="false" outlineLevel="0" collapsed="false">
      <c r="B27" s="88" t="s">
        <v>77</v>
      </c>
      <c r="C27" s="88"/>
      <c r="D27" s="88"/>
      <c r="E27" s="88"/>
    </row>
    <row r="29" customFormat="false" ht="15" hidden="false" customHeight="false" outlineLevel="0" collapsed="false">
      <c r="B29" s="0" t="s">
        <v>78</v>
      </c>
      <c r="C29" s="0" t="s">
        <v>79</v>
      </c>
      <c r="D29" s="0" t="s">
        <v>47</v>
      </c>
      <c r="E29" s="89" t="n">
        <f aca="false">E7*0.8</f>
        <v>412.56</v>
      </c>
    </row>
    <row r="30" customFormat="false" ht="15" hidden="false" customHeight="false" outlineLevel="0" collapsed="false">
      <c r="E30" s="18"/>
    </row>
    <row r="31" customFormat="false" ht="15" hidden="false" customHeight="false" outlineLevel="0" collapsed="false">
      <c r="E31" s="18"/>
    </row>
    <row r="32" customFormat="false" ht="15" hidden="false" customHeight="false" outlineLevel="0" collapsed="false">
      <c r="E32" s="18"/>
    </row>
    <row r="33" customFormat="false" ht="15" hidden="false" customHeight="false" outlineLevel="0" collapsed="false">
      <c r="E33" s="18"/>
    </row>
    <row r="34" customFormat="false" ht="15" hidden="false" customHeight="false" outlineLevel="0" collapsed="false">
      <c r="B34" s="109" t="s">
        <v>70</v>
      </c>
      <c r="C34" s="110"/>
      <c r="D34" s="110" t="s">
        <v>47</v>
      </c>
      <c r="E34" s="111" t="n">
        <v>1.98</v>
      </c>
    </row>
    <row r="35" customFormat="false" ht="15" hidden="false" customHeight="false" outlineLevel="0" collapsed="false">
      <c r="B35" s="91" t="s">
        <v>67</v>
      </c>
      <c r="C35" s="0" t="s">
        <v>80</v>
      </c>
      <c r="D35" s="0" t="s">
        <v>69</v>
      </c>
      <c r="E35" s="98" t="n">
        <f aca="false">E29/E34</f>
        <v>208.36</v>
      </c>
    </row>
    <row r="36" customFormat="false" ht="15" hidden="false" customHeight="false" outlineLevel="0" collapsed="false">
      <c r="B36" s="91" t="s">
        <v>81</v>
      </c>
      <c r="D36" s="0" t="s">
        <v>69</v>
      </c>
      <c r="E36" s="98" t="n">
        <v>208</v>
      </c>
    </row>
    <row r="37" customFormat="false" ht="15" hidden="false" customHeight="false" outlineLevel="0" collapsed="false">
      <c r="B37" s="91" t="s">
        <v>65</v>
      </c>
      <c r="D37" s="0" t="s">
        <v>66</v>
      </c>
      <c r="E37" s="93" t="n">
        <v>335</v>
      </c>
    </row>
    <row r="38" customFormat="false" ht="15" hidden="false" customHeight="false" outlineLevel="0" collapsed="false">
      <c r="B38" s="91" t="s">
        <v>82</v>
      </c>
      <c r="C38" s="0" t="s">
        <v>83</v>
      </c>
      <c r="D38" s="0" t="s">
        <v>63</v>
      </c>
      <c r="E38" s="98" t="n">
        <f aca="false">(E36*E37)/1000</f>
        <v>69.68</v>
      </c>
    </row>
    <row r="39" customFormat="false" ht="15" hidden="false" customHeight="false" outlineLevel="0" collapsed="false">
      <c r="B39" s="91"/>
      <c r="E39" s="93"/>
    </row>
    <row r="40" customFormat="false" ht="15" hidden="false" customHeight="false" outlineLevel="0" collapsed="false">
      <c r="B40" s="91" t="s">
        <v>84</v>
      </c>
      <c r="C40" s="0" t="s">
        <v>85</v>
      </c>
      <c r="D40" s="0" t="s">
        <v>40</v>
      </c>
      <c r="E40" s="98" t="n">
        <f aca="false">E38*E12</f>
        <v>100715.47</v>
      </c>
    </row>
    <row r="41" customFormat="false" ht="15" hidden="false" customHeight="false" outlineLevel="0" collapsed="false">
      <c r="B41" s="91" t="s">
        <v>86</v>
      </c>
      <c r="C41" s="0" t="s">
        <v>51</v>
      </c>
      <c r="D41" s="0" t="s">
        <v>40</v>
      </c>
      <c r="E41" s="93" t="n">
        <f aca="false">E9</f>
        <v>54130.74</v>
      </c>
    </row>
    <row r="42" customFormat="false" ht="15" hidden="false" customHeight="false" outlineLevel="0" collapsed="false">
      <c r="B42" s="91"/>
      <c r="E42" s="93"/>
    </row>
    <row r="43" customFormat="false" ht="15" hidden="false" customHeight="false" outlineLevel="0" collapsed="false">
      <c r="B43" s="91" t="s">
        <v>87</v>
      </c>
      <c r="C43" s="0" t="s">
        <v>88</v>
      </c>
      <c r="D43" s="0" t="s">
        <v>89</v>
      </c>
      <c r="E43" s="100" t="n">
        <f aca="false">E41/E40</f>
        <v>0.54</v>
      </c>
    </row>
    <row r="44" customFormat="false" ht="15" hidden="false" customHeight="false" outlineLevel="0" collapsed="false">
      <c r="B44" s="91"/>
      <c r="E44" s="93"/>
    </row>
    <row r="45" customFormat="false" ht="15" hidden="false" customHeight="false" outlineLevel="0" collapsed="false">
      <c r="B45" s="91" t="s">
        <v>73</v>
      </c>
      <c r="D45" s="0" t="s">
        <v>74</v>
      </c>
      <c r="E45" s="93" t="n">
        <v>839</v>
      </c>
    </row>
    <row r="46" customFormat="false" ht="15" hidden="false" customHeight="false" outlineLevel="0" collapsed="false">
      <c r="B46" s="94" t="s">
        <v>75</v>
      </c>
      <c r="C46" s="95"/>
      <c r="D46" s="95" t="s">
        <v>74</v>
      </c>
      <c r="E46" s="101" t="n">
        <f aca="false">E45*E36</f>
        <v>174512</v>
      </c>
    </row>
    <row r="48" customFormat="false" ht="15" hidden="false" customHeight="false" outlineLevel="0" collapsed="false">
      <c r="B48" s="102" t="s">
        <v>90</v>
      </c>
      <c r="C48" s="102"/>
      <c r="D48" s="102"/>
      <c r="E48" s="102"/>
    </row>
    <row r="50" customFormat="false" ht="15" hidden="false" customHeight="false" outlineLevel="0" collapsed="false">
      <c r="B50" s="0" t="s">
        <v>91</v>
      </c>
      <c r="D50" s="0" t="s">
        <v>63</v>
      </c>
      <c r="E50" s="103" t="n">
        <v>30</v>
      </c>
    </row>
    <row r="51" customFormat="false" ht="15" hidden="false" customHeight="false" outlineLevel="0" collapsed="false">
      <c r="D51" s="0" t="s">
        <v>92</v>
      </c>
      <c r="E51" s="93" t="n">
        <v>21339</v>
      </c>
    </row>
    <row r="53" customFormat="false" ht="15" hidden="false" customHeight="false" outlineLevel="0" collapsed="false">
      <c r="B53" s="102" t="s">
        <v>93</v>
      </c>
      <c r="C53" s="102"/>
      <c r="D53" s="102"/>
      <c r="E53" s="102"/>
    </row>
    <row r="55" customFormat="false" ht="15" hidden="false" customHeight="false" outlineLevel="0" collapsed="false">
      <c r="B55" s="0" t="s">
        <v>91</v>
      </c>
      <c r="D55" s="0" t="s">
        <v>63</v>
      </c>
      <c r="E55" s="103" t="n">
        <v>22.5</v>
      </c>
    </row>
    <row r="56" customFormat="false" ht="15" hidden="false" customHeight="false" outlineLevel="0" collapsed="false">
      <c r="D56" s="0" t="s">
        <v>92</v>
      </c>
      <c r="E56" s="93" t="n">
        <v>20989</v>
      </c>
    </row>
    <row r="58" customFormat="false" ht="15" hidden="false" customHeight="false" outlineLevel="0" collapsed="false">
      <c r="B58" s="102" t="s">
        <v>94</v>
      </c>
      <c r="C58" s="102"/>
      <c r="D58" s="102"/>
      <c r="E58" s="102"/>
    </row>
    <row r="60" customFormat="false" ht="15" hidden="false" customHeight="false" outlineLevel="0" collapsed="false">
      <c r="B60" s="0" t="s">
        <v>91</v>
      </c>
      <c r="D60" s="0" t="s">
        <v>63</v>
      </c>
      <c r="E60" s="103" t="n">
        <v>45</v>
      </c>
    </row>
    <row r="61" customFormat="false" ht="15" hidden="false" customHeight="false" outlineLevel="0" collapsed="false">
      <c r="D61" s="0" t="s">
        <v>92</v>
      </c>
      <c r="E61" s="93" t="n">
        <v>29229</v>
      </c>
    </row>
    <row r="63" customFormat="false" ht="15" hidden="false" customHeight="false" outlineLevel="0" collapsed="false">
      <c r="B63" s="88" t="s">
        <v>95</v>
      </c>
      <c r="C63" s="88"/>
      <c r="D63" s="88"/>
      <c r="E63" s="88"/>
    </row>
    <row r="64" customFormat="false" ht="15" hidden="false" customHeight="false" outlineLevel="0" collapsed="false">
      <c r="C64" s="2" t="s">
        <v>96</v>
      </c>
    </row>
    <row r="65" customFormat="false" ht="15" hidden="false" customHeight="false" outlineLevel="0" collapsed="false">
      <c r="B65" s="0" t="s">
        <v>97</v>
      </c>
      <c r="C65" s="2" t="n">
        <v>3</v>
      </c>
      <c r="D65" s="0" t="s">
        <v>63</v>
      </c>
      <c r="E65" s="89" t="n">
        <f aca="false">C65*E55</f>
        <v>67.5</v>
      </c>
    </row>
    <row r="66" customFormat="false" ht="15" hidden="false" customHeight="false" outlineLevel="0" collapsed="false">
      <c r="E66" s="18"/>
    </row>
    <row r="68" customFormat="false" ht="15" hidden="false" customHeight="false" outlineLevel="0" collapsed="false">
      <c r="B68" s="109" t="s">
        <v>65</v>
      </c>
      <c r="C68" s="110"/>
      <c r="D68" s="110" t="s">
        <v>66</v>
      </c>
      <c r="E68" s="111" t="n">
        <v>335</v>
      </c>
    </row>
    <row r="69" customFormat="false" ht="15" hidden="false" customHeight="false" outlineLevel="0" collapsed="false">
      <c r="B69" s="91" t="s">
        <v>67</v>
      </c>
      <c r="C69" s="0" t="s">
        <v>103</v>
      </c>
      <c r="D69" s="0" t="s">
        <v>69</v>
      </c>
      <c r="E69" s="98" t="n">
        <f aca="false">(E65/E68)*1000</f>
        <v>201.49</v>
      </c>
    </row>
    <row r="70" customFormat="false" ht="15" hidden="false" customHeight="false" outlineLevel="0" collapsed="false">
      <c r="B70" s="91" t="s">
        <v>81</v>
      </c>
      <c r="D70" s="0" t="s">
        <v>69</v>
      </c>
      <c r="E70" s="98" t="n">
        <v>201</v>
      </c>
    </row>
    <row r="71" customFormat="false" ht="15" hidden="false" customHeight="false" outlineLevel="0" collapsed="false">
      <c r="B71" s="91" t="s">
        <v>70</v>
      </c>
      <c r="D71" s="0" t="s">
        <v>47</v>
      </c>
      <c r="E71" s="93" t="n">
        <v>1.98</v>
      </c>
    </row>
    <row r="72" customFormat="false" ht="15" hidden="false" customHeight="false" outlineLevel="0" collapsed="false">
      <c r="B72" s="91" t="s">
        <v>99</v>
      </c>
      <c r="C72" s="0" t="s">
        <v>72</v>
      </c>
      <c r="D72" s="0" t="s">
        <v>47</v>
      </c>
      <c r="E72" s="98" t="n">
        <f aca="false">E71*E70</f>
        <v>397.98</v>
      </c>
    </row>
    <row r="73" customFormat="false" ht="15" hidden="false" customHeight="false" outlineLevel="0" collapsed="false">
      <c r="B73" s="91" t="s">
        <v>99</v>
      </c>
      <c r="D73" s="41" t="s">
        <v>89</v>
      </c>
      <c r="E73" s="100" t="n">
        <f aca="false">E72/E7</f>
        <v>0.77</v>
      </c>
    </row>
    <row r="74" customFormat="false" ht="15" hidden="false" customHeight="false" outlineLevel="0" collapsed="false">
      <c r="B74" s="91"/>
      <c r="D74" s="41"/>
      <c r="E74" s="100"/>
    </row>
    <row r="75" customFormat="false" ht="15" hidden="false" customHeight="false" outlineLevel="0" collapsed="false">
      <c r="B75" s="91" t="s">
        <v>82</v>
      </c>
      <c r="C75" s="0" t="s">
        <v>83</v>
      </c>
      <c r="D75" s="0" t="s">
        <v>63</v>
      </c>
      <c r="E75" s="93" t="n">
        <f aca="false">E70*E68/1000</f>
        <v>67.34</v>
      </c>
    </row>
    <row r="76" customFormat="false" ht="15" hidden="false" customHeight="false" outlineLevel="0" collapsed="false">
      <c r="B76" s="91" t="s">
        <v>84</v>
      </c>
      <c r="C76" s="0" t="s">
        <v>85</v>
      </c>
      <c r="D76" s="0" t="s">
        <v>40</v>
      </c>
      <c r="E76" s="98" t="n">
        <f aca="false">E75*E12</f>
        <v>97333.24</v>
      </c>
    </row>
    <row r="77" customFormat="false" ht="15" hidden="false" customHeight="false" outlineLevel="0" collapsed="false">
      <c r="B77" s="91" t="s">
        <v>86</v>
      </c>
      <c r="C77" s="0" t="s">
        <v>51</v>
      </c>
      <c r="D77" s="0" t="s">
        <v>40</v>
      </c>
      <c r="E77" s="93" t="n">
        <f aca="false">E9</f>
        <v>54130.74</v>
      </c>
    </row>
    <row r="78" customFormat="false" ht="15" hidden="false" customHeight="false" outlineLevel="0" collapsed="false">
      <c r="B78" s="91"/>
      <c r="E78" s="93"/>
    </row>
    <row r="79" customFormat="false" ht="15" hidden="false" customHeight="false" outlineLevel="0" collapsed="false">
      <c r="B79" s="91" t="s">
        <v>87</v>
      </c>
      <c r="C79" s="0" t="s">
        <v>88</v>
      </c>
      <c r="D79" s="0" t="s">
        <v>89</v>
      </c>
      <c r="E79" s="104" t="n">
        <f aca="false">E77/E76</f>
        <v>0.5561</v>
      </c>
      <c r="F79" s="112" t="n">
        <f aca="false">1-E79</f>
        <v>0.4439</v>
      </c>
    </row>
    <row r="80" customFormat="false" ht="15" hidden="false" customHeight="false" outlineLevel="0" collapsed="false">
      <c r="B80" s="91"/>
      <c r="E80" s="93"/>
    </row>
    <row r="81" customFormat="false" ht="15" hidden="false" customHeight="false" outlineLevel="0" collapsed="false">
      <c r="B81" s="91" t="s">
        <v>73</v>
      </c>
      <c r="D81" s="0" t="s">
        <v>74</v>
      </c>
      <c r="E81" s="93" t="n">
        <v>839</v>
      </c>
    </row>
    <row r="82" customFormat="false" ht="15" hidden="false" customHeight="false" outlineLevel="0" collapsed="false">
      <c r="B82" s="91" t="s">
        <v>75</v>
      </c>
      <c r="D82" s="0" t="s">
        <v>74</v>
      </c>
      <c r="E82" s="98" t="n">
        <f aca="false">E70*E81</f>
        <v>168639</v>
      </c>
    </row>
    <row r="83" customFormat="false" ht="15" hidden="false" customHeight="false" outlineLevel="0" collapsed="false">
      <c r="B83" s="91" t="s">
        <v>101</v>
      </c>
      <c r="D83" s="0" t="s">
        <v>74</v>
      </c>
      <c r="E83" s="98" t="n">
        <f aca="false">C65*E56</f>
        <v>62967</v>
      </c>
    </row>
    <row r="84" customFormat="false" ht="15" hidden="false" customHeight="false" outlineLevel="0" collapsed="false">
      <c r="B84" s="94" t="s">
        <v>102</v>
      </c>
      <c r="C84" s="95"/>
      <c r="D84" s="95" t="s">
        <v>74</v>
      </c>
      <c r="E84" s="101" t="n">
        <f aca="false">SUM(E82:E83)</f>
        <v>231606</v>
      </c>
    </row>
  </sheetData>
  <mergeCells count="7">
    <mergeCell ref="B5:E5"/>
    <mergeCell ref="B14:E14"/>
    <mergeCell ref="B27:E27"/>
    <mergeCell ref="B48:E48"/>
    <mergeCell ref="B53:E53"/>
    <mergeCell ref="B58:E58"/>
    <mergeCell ref="B63:E63"/>
  </mergeCells>
  <printOptions headings="false" gridLines="false" gridLinesSet="true" horizontalCentered="false" verticalCentered="false"/>
  <pageMargins left="0" right="0" top="0.39375" bottom="0.39375" header="0" footer="0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I8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40.71"/>
    <col collapsed="false" customWidth="true" hidden="false" outlineLevel="0" max="3" min="3" style="0" width="48.15"/>
    <col collapsed="false" customWidth="true" hidden="false" outlineLevel="0" max="4" min="4" style="0" width="12.14"/>
    <col collapsed="false" customWidth="true" hidden="false" outlineLevel="0" max="5" min="5" style="0" width="19.42"/>
    <col collapsed="false" customWidth="true" hidden="false" outlineLevel="0" max="9" min="6" style="0" width="12.14"/>
    <col collapsed="false" customWidth="true" hidden="false" outlineLevel="0" max="64" min="10" style="0" width="9.14"/>
  </cols>
  <sheetData>
    <row r="5" customFormat="false" ht="15" hidden="false" customHeight="false" outlineLevel="0" collapsed="false">
      <c r="B5" s="83" t="s">
        <v>156</v>
      </c>
      <c r="C5" s="83"/>
      <c r="D5" s="83"/>
      <c r="E5" s="83"/>
    </row>
    <row r="6" customFormat="false" ht="30" hidden="false" customHeight="false" outlineLevel="0" collapsed="false">
      <c r="B6" s="0" t="s">
        <v>45</v>
      </c>
      <c r="C6" s="2" t="s">
        <v>35</v>
      </c>
      <c r="I6" s="84" t="str">
        <f aca="false">B5</f>
        <v>AV__PORTUGAL</v>
      </c>
    </row>
    <row r="7" customFormat="false" ht="15" hidden="false" customHeight="false" outlineLevel="0" collapsed="false">
      <c r="B7" s="0" t="s">
        <v>46</v>
      </c>
      <c r="D7" s="0" t="s">
        <v>47</v>
      </c>
      <c r="E7" s="18" t="n">
        <v>518.69</v>
      </c>
      <c r="H7" s="78" t="n">
        <v>43466</v>
      </c>
      <c r="I7" s="106" t="n">
        <v>3034.6</v>
      </c>
    </row>
    <row r="8" customFormat="false" ht="15" hidden="false" customHeight="false" outlineLevel="0" collapsed="false">
      <c r="B8" s="0" t="s">
        <v>48</v>
      </c>
      <c r="E8" s="18" t="s">
        <v>157</v>
      </c>
      <c r="H8" s="78" t="n">
        <v>43497</v>
      </c>
      <c r="I8" s="106" t="n">
        <v>4315.34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I20*12</f>
        <v>43698.82</v>
      </c>
      <c r="H9" s="78" t="n">
        <v>43525</v>
      </c>
      <c r="I9" s="106" t="n">
        <v>3505.7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5.25</v>
      </c>
      <c r="H10" s="78" t="n">
        <v>43556</v>
      </c>
      <c r="I10" s="106" t="n">
        <v>3718.61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0.75</v>
      </c>
      <c r="H11" s="78" t="n">
        <v>43586</v>
      </c>
      <c r="I11" s="106" t="n">
        <v>3387.07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1437.19</v>
      </c>
      <c r="H12" s="78" t="n">
        <v>43617</v>
      </c>
      <c r="I12" s="106" t="n">
        <v>2768.12</v>
      </c>
    </row>
    <row r="13" customFormat="false" ht="15" hidden="false" customHeight="false" outlineLevel="0" collapsed="false">
      <c r="H13" s="78" t="n">
        <v>43647</v>
      </c>
      <c r="I13" s="106" t="n">
        <v>2684.69</v>
      </c>
    </row>
    <row r="14" customFormat="false" ht="15" hidden="false" customHeight="false" outlineLevel="0" collapsed="false">
      <c r="B14" s="88" t="s">
        <v>60</v>
      </c>
      <c r="C14" s="88"/>
      <c r="D14" s="88"/>
      <c r="E14" s="88"/>
      <c r="H14" s="78" t="n">
        <v>43678</v>
      </c>
      <c r="I14" s="106" t="n">
        <v>2715.57</v>
      </c>
    </row>
    <row r="15" customFormat="false" ht="15" hidden="false" customHeight="false" outlineLevel="0" collapsed="false">
      <c r="H15" s="78" t="n">
        <v>43709</v>
      </c>
      <c r="I15" s="106" t="n">
        <v>4474.39</v>
      </c>
    </row>
    <row r="16" customFormat="false" ht="15" hidden="false" customHeight="false" outlineLevel="0" collapsed="false">
      <c r="B16" s="0" t="s">
        <v>61</v>
      </c>
      <c r="C16" s="0" t="s">
        <v>62</v>
      </c>
      <c r="D16" s="0" t="s">
        <v>63</v>
      </c>
      <c r="E16" s="89" t="n">
        <f aca="false">E9/E12</f>
        <v>30.41</v>
      </c>
      <c r="H16" s="78" t="n">
        <v>43739</v>
      </c>
      <c r="I16" s="106" t="n">
        <v>4797.81</v>
      </c>
    </row>
    <row r="17" customFormat="false" ht="15" hidden="false" customHeight="false" outlineLevel="0" collapsed="false">
      <c r="H17" s="78" t="n">
        <v>43770</v>
      </c>
      <c r="I17" s="106" t="n">
        <v>4647.69</v>
      </c>
    </row>
    <row r="18" customFormat="false" ht="15" hidden="false" customHeight="false" outlineLevel="0" collapsed="false">
      <c r="B18" s="109" t="s">
        <v>65</v>
      </c>
      <c r="C18" s="110"/>
      <c r="D18" s="110" t="s">
        <v>66</v>
      </c>
      <c r="E18" s="111" t="n">
        <v>335</v>
      </c>
      <c r="H18" s="78" t="n">
        <v>43800</v>
      </c>
      <c r="I18" s="106" t="n">
        <v>3649.23</v>
      </c>
    </row>
    <row r="19" customFormat="false" ht="15" hidden="false" customHeight="false" outlineLevel="0" collapsed="false">
      <c r="B19" s="91" t="s">
        <v>67</v>
      </c>
      <c r="C19" s="0" t="s">
        <v>68</v>
      </c>
      <c r="D19" s="0" t="s">
        <v>69</v>
      </c>
      <c r="E19" s="93" t="n">
        <f aca="false">E16*1000/E18</f>
        <v>90.78</v>
      </c>
    </row>
    <row r="20" customFormat="false" ht="15" hidden="false" customHeight="false" outlineLevel="0" collapsed="false">
      <c r="B20" s="91" t="s">
        <v>70</v>
      </c>
      <c r="D20" s="0" t="s">
        <v>47</v>
      </c>
      <c r="E20" s="93" t="n">
        <v>1.98</v>
      </c>
      <c r="H20" s="0" t="s">
        <v>39</v>
      </c>
      <c r="I20" s="0" t="n">
        <f aca="false">(SUM(I7:I18))/12</f>
        <v>3641.56833333333</v>
      </c>
    </row>
    <row r="21" customFormat="false" ht="15" hidden="false" customHeight="false" outlineLevel="0" collapsed="false">
      <c r="B21" s="91" t="s">
        <v>71</v>
      </c>
      <c r="C21" s="0" t="s">
        <v>72</v>
      </c>
      <c r="D21" s="0" t="s">
        <v>47</v>
      </c>
      <c r="E21" s="93" t="n">
        <f aca="false">E19*E20</f>
        <v>179.74</v>
      </c>
    </row>
    <row r="22" customFormat="false" ht="15" hidden="false" customHeight="false" outlineLevel="0" collapsed="false">
      <c r="B22" s="91" t="s">
        <v>73</v>
      </c>
      <c r="D22" s="0" t="s">
        <v>74</v>
      </c>
      <c r="E22" s="93" t="n">
        <v>839</v>
      </c>
    </row>
    <row r="23" customFormat="false" ht="15" hidden="false" customHeight="false" outlineLevel="0" collapsed="false">
      <c r="B23" s="91"/>
      <c r="E23" s="97"/>
    </row>
    <row r="24" customFormat="false" ht="15" hidden="false" customHeight="false" outlineLevel="0" collapsed="false">
      <c r="B24" s="94" t="s">
        <v>75</v>
      </c>
      <c r="C24" s="95"/>
      <c r="D24" s="95" t="s">
        <v>74</v>
      </c>
      <c r="E24" s="96" t="n">
        <f aca="false">E22*E19</f>
        <v>76164.42</v>
      </c>
    </row>
    <row r="27" customFormat="false" ht="15" hidden="false" customHeight="false" outlineLevel="0" collapsed="false">
      <c r="B27" s="88" t="s">
        <v>77</v>
      </c>
      <c r="C27" s="88"/>
      <c r="D27" s="88"/>
      <c r="E27" s="88"/>
    </row>
    <row r="29" customFormat="false" ht="15" hidden="false" customHeight="false" outlineLevel="0" collapsed="false">
      <c r="B29" s="0" t="s">
        <v>78</v>
      </c>
      <c r="C29" s="0" t="s">
        <v>79</v>
      </c>
      <c r="D29" s="0" t="s">
        <v>47</v>
      </c>
      <c r="E29" s="89" t="n">
        <f aca="false">E7*0.8</f>
        <v>414.95</v>
      </c>
    </row>
    <row r="30" customFormat="false" ht="15" hidden="false" customHeight="false" outlineLevel="0" collapsed="false">
      <c r="E30" s="18"/>
    </row>
    <row r="31" customFormat="false" ht="15" hidden="false" customHeight="false" outlineLevel="0" collapsed="false">
      <c r="E31" s="18"/>
    </row>
    <row r="32" customFormat="false" ht="15" hidden="false" customHeight="false" outlineLevel="0" collapsed="false">
      <c r="E32" s="18"/>
    </row>
    <row r="33" customFormat="false" ht="15" hidden="false" customHeight="false" outlineLevel="0" collapsed="false">
      <c r="E33" s="18"/>
    </row>
    <row r="34" customFormat="false" ht="15" hidden="false" customHeight="false" outlineLevel="0" collapsed="false">
      <c r="B34" s="109" t="s">
        <v>70</v>
      </c>
      <c r="C34" s="110"/>
      <c r="D34" s="110" t="s">
        <v>47</v>
      </c>
      <c r="E34" s="111" t="n">
        <v>1.98</v>
      </c>
    </row>
    <row r="35" customFormat="false" ht="15" hidden="false" customHeight="false" outlineLevel="0" collapsed="false">
      <c r="B35" s="91" t="s">
        <v>67</v>
      </c>
      <c r="C35" s="0" t="s">
        <v>80</v>
      </c>
      <c r="D35" s="0" t="s">
        <v>69</v>
      </c>
      <c r="E35" s="98" t="n">
        <f aca="false">E29/E34</f>
        <v>209.57</v>
      </c>
    </row>
    <row r="36" customFormat="false" ht="15" hidden="false" customHeight="false" outlineLevel="0" collapsed="false">
      <c r="B36" s="91" t="s">
        <v>81</v>
      </c>
      <c r="D36" s="0" t="s">
        <v>69</v>
      </c>
      <c r="E36" s="98" t="n">
        <v>209</v>
      </c>
    </row>
    <row r="37" customFormat="false" ht="15" hidden="false" customHeight="false" outlineLevel="0" collapsed="false">
      <c r="B37" s="91" t="s">
        <v>65</v>
      </c>
      <c r="D37" s="0" t="s">
        <v>66</v>
      </c>
      <c r="E37" s="93" t="n">
        <v>335</v>
      </c>
    </row>
    <row r="38" customFormat="false" ht="15" hidden="false" customHeight="false" outlineLevel="0" collapsed="false">
      <c r="B38" s="91" t="s">
        <v>82</v>
      </c>
      <c r="C38" s="0" t="s">
        <v>83</v>
      </c>
      <c r="D38" s="0" t="s">
        <v>63</v>
      </c>
      <c r="E38" s="98" t="n">
        <f aca="false">(E36*E37)/1000</f>
        <v>70.02</v>
      </c>
    </row>
    <row r="39" customFormat="false" ht="15" hidden="false" customHeight="false" outlineLevel="0" collapsed="false">
      <c r="B39" s="91"/>
      <c r="E39" s="93"/>
    </row>
    <row r="40" customFormat="false" ht="15" hidden="false" customHeight="false" outlineLevel="0" collapsed="false">
      <c r="B40" s="91" t="s">
        <v>84</v>
      </c>
      <c r="C40" s="0" t="s">
        <v>85</v>
      </c>
      <c r="D40" s="0" t="s">
        <v>40</v>
      </c>
      <c r="E40" s="98" t="n">
        <f aca="false">E38*E12</f>
        <v>100632.04</v>
      </c>
    </row>
    <row r="41" customFormat="false" ht="15" hidden="false" customHeight="false" outlineLevel="0" collapsed="false">
      <c r="B41" s="91" t="s">
        <v>86</v>
      </c>
      <c r="C41" s="0" t="s">
        <v>51</v>
      </c>
      <c r="D41" s="0" t="s">
        <v>40</v>
      </c>
      <c r="E41" s="93" t="n">
        <f aca="false">E9</f>
        <v>43698.82</v>
      </c>
    </row>
    <row r="42" customFormat="false" ht="15" hidden="false" customHeight="false" outlineLevel="0" collapsed="false">
      <c r="B42" s="91"/>
      <c r="E42" s="93"/>
    </row>
    <row r="43" customFormat="false" ht="15" hidden="false" customHeight="false" outlineLevel="0" collapsed="false">
      <c r="B43" s="91" t="s">
        <v>87</v>
      </c>
      <c r="C43" s="0" t="s">
        <v>88</v>
      </c>
      <c r="D43" s="0" t="s">
        <v>89</v>
      </c>
      <c r="E43" s="100" t="n">
        <f aca="false">E41/E40</f>
        <v>0.43</v>
      </c>
    </row>
    <row r="44" customFormat="false" ht="15" hidden="false" customHeight="false" outlineLevel="0" collapsed="false">
      <c r="B44" s="91"/>
      <c r="E44" s="93"/>
    </row>
    <row r="45" customFormat="false" ht="15" hidden="false" customHeight="false" outlineLevel="0" collapsed="false">
      <c r="B45" s="91" t="s">
        <v>73</v>
      </c>
      <c r="D45" s="0" t="s">
        <v>74</v>
      </c>
      <c r="E45" s="93" t="n">
        <v>839</v>
      </c>
    </row>
    <row r="46" customFormat="false" ht="15" hidden="false" customHeight="false" outlineLevel="0" collapsed="false">
      <c r="B46" s="94" t="s">
        <v>75</v>
      </c>
      <c r="C46" s="95"/>
      <c r="D46" s="95" t="s">
        <v>74</v>
      </c>
      <c r="E46" s="101" t="n">
        <f aca="false">E45*E36</f>
        <v>175351</v>
      </c>
    </row>
    <row r="48" customFormat="false" ht="15" hidden="false" customHeight="false" outlineLevel="0" collapsed="false">
      <c r="B48" s="102" t="s">
        <v>90</v>
      </c>
      <c r="C48" s="102"/>
      <c r="D48" s="102"/>
      <c r="E48" s="102"/>
    </row>
    <row r="50" customFormat="false" ht="15" hidden="false" customHeight="false" outlineLevel="0" collapsed="false">
      <c r="B50" s="0" t="s">
        <v>91</v>
      </c>
      <c r="D50" s="0" t="s">
        <v>63</v>
      </c>
      <c r="E50" s="103" t="n">
        <v>30</v>
      </c>
    </row>
    <row r="51" customFormat="false" ht="15" hidden="false" customHeight="false" outlineLevel="0" collapsed="false">
      <c r="D51" s="0" t="s">
        <v>92</v>
      </c>
      <c r="E51" s="93" t="n">
        <v>21339</v>
      </c>
    </row>
    <row r="53" customFormat="false" ht="15" hidden="false" customHeight="false" outlineLevel="0" collapsed="false">
      <c r="B53" s="102" t="s">
        <v>93</v>
      </c>
      <c r="C53" s="102"/>
      <c r="D53" s="102"/>
      <c r="E53" s="102"/>
    </row>
    <row r="55" customFormat="false" ht="15" hidden="false" customHeight="false" outlineLevel="0" collapsed="false">
      <c r="B55" s="0" t="s">
        <v>91</v>
      </c>
      <c r="D55" s="0" t="s">
        <v>63</v>
      </c>
      <c r="E55" s="103" t="n">
        <v>22.5</v>
      </c>
    </row>
    <row r="56" customFormat="false" ht="15" hidden="false" customHeight="false" outlineLevel="0" collapsed="false">
      <c r="D56" s="0" t="s">
        <v>92</v>
      </c>
      <c r="E56" s="93" t="n">
        <v>20989</v>
      </c>
    </row>
    <row r="58" customFormat="false" ht="15" hidden="false" customHeight="false" outlineLevel="0" collapsed="false">
      <c r="B58" s="102" t="s">
        <v>94</v>
      </c>
      <c r="C58" s="102"/>
      <c r="D58" s="102"/>
      <c r="E58" s="102"/>
    </row>
    <row r="60" customFormat="false" ht="15" hidden="false" customHeight="false" outlineLevel="0" collapsed="false">
      <c r="B60" s="0" t="s">
        <v>91</v>
      </c>
      <c r="D60" s="0" t="s">
        <v>63</v>
      </c>
      <c r="E60" s="103" t="n">
        <v>45</v>
      </c>
    </row>
    <row r="61" customFormat="false" ht="15" hidden="false" customHeight="false" outlineLevel="0" collapsed="false">
      <c r="D61" s="0" t="s">
        <v>92</v>
      </c>
      <c r="E61" s="93" t="n">
        <v>29229</v>
      </c>
    </row>
    <row r="63" customFormat="false" ht="15" hidden="false" customHeight="false" outlineLevel="0" collapsed="false">
      <c r="B63" s="88" t="s">
        <v>95</v>
      </c>
      <c r="C63" s="88"/>
      <c r="D63" s="88"/>
      <c r="E63" s="88"/>
    </row>
    <row r="64" customFormat="false" ht="15" hidden="false" customHeight="false" outlineLevel="0" collapsed="false">
      <c r="C64" s="2" t="s">
        <v>96</v>
      </c>
    </row>
    <row r="65" customFormat="false" ht="15" hidden="false" customHeight="false" outlineLevel="0" collapsed="false">
      <c r="B65" s="0" t="s">
        <v>97</v>
      </c>
      <c r="C65" s="2" t="n">
        <v>3</v>
      </c>
      <c r="D65" s="0" t="s">
        <v>63</v>
      </c>
      <c r="E65" s="89" t="n">
        <f aca="false">C65*E55</f>
        <v>67.5</v>
      </c>
    </row>
    <row r="66" customFormat="false" ht="15" hidden="false" customHeight="false" outlineLevel="0" collapsed="false">
      <c r="E66" s="18"/>
    </row>
    <row r="68" customFormat="false" ht="15" hidden="false" customHeight="false" outlineLevel="0" collapsed="false">
      <c r="B68" s="109" t="s">
        <v>65</v>
      </c>
      <c r="C68" s="110"/>
      <c r="D68" s="110" t="s">
        <v>66</v>
      </c>
      <c r="E68" s="111" t="n">
        <v>335</v>
      </c>
    </row>
    <row r="69" customFormat="false" ht="15" hidden="false" customHeight="false" outlineLevel="0" collapsed="false">
      <c r="B69" s="91" t="s">
        <v>67</v>
      </c>
      <c r="C69" s="0" t="s">
        <v>103</v>
      </c>
      <c r="D69" s="0" t="s">
        <v>69</v>
      </c>
      <c r="E69" s="98" t="n">
        <f aca="false">(E65/E68)*1000</f>
        <v>201.49</v>
      </c>
    </row>
    <row r="70" customFormat="false" ht="15" hidden="false" customHeight="false" outlineLevel="0" collapsed="false">
      <c r="B70" s="91" t="s">
        <v>81</v>
      </c>
      <c r="D70" s="0" t="s">
        <v>69</v>
      </c>
      <c r="E70" s="98" t="n">
        <v>201</v>
      </c>
    </row>
    <row r="71" customFormat="false" ht="15" hidden="false" customHeight="false" outlineLevel="0" collapsed="false">
      <c r="B71" s="91" t="s">
        <v>70</v>
      </c>
      <c r="D71" s="0" t="s">
        <v>47</v>
      </c>
      <c r="E71" s="93" t="n">
        <v>1.98</v>
      </c>
    </row>
    <row r="72" customFormat="false" ht="15" hidden="false" customHeight="false" outlineLevel="0" collapsed="false">
      <c r="B72" s="91" t="s">
        <v>99</v>
      </c>
      <c r="C72" s="0" t="s">
        <v>72</v>
      </c>
      <c r="D72" s="0" t="s">
        <v>47</v>
      </c>
      <c r="E72" s="98" t="n">
        <f aca="false">E71*E70</f>
        <v>397.98</v>
      </c>
    </row>
    <row r="73" customFormat="false" ht="15" hidden="false" customHeight="false" outlineLevel="0" collapsed="false">
      <c r="B73" s="91" t="s">
        <v>99</v>
      </c>
      <c r="D73" s="41" t="s">
        <v>89</v>
      </c>
      <c r="E73" s="100" t="n">
        <f aca="false">E72/E7</f>
        <v>0.77</v>
      </c>
    </row>
    <row r="74" customFormat="false" ht="15" hidden="false" customHeight="false" outlineLevel="0" collapsed="false">
      <c r="B74" s="91"/>
      <c r="D74" s="41"/>
      <c r="E74" s="100"/>
    </row>
    <row r="75" customFormat="false" ht="15" hidden="false" customHeight="false" outlineLevel="0" collapsed="false">
      <c r="B75" s="91" t="s">
        <v>82</v>
      </c>
      <c r="C75" s="0" t="s">
        <v>83</v>
      </c>
      <c r="D75" s="0" t="s">
        <v>63</v>
      </c>
      <c r="E75" s="93" t="n">
        <f aca="false">E70*E68/1000</f>
        <v>67.34</v>
      </c>
    </row>
    <row r="76" customFormat="false" ht="15" hidden="false" customHeight="false" outlineLevel="0" collapsed="false">
      <c r="B76" s="91" t="s">
        <v>84</v>
      </c>
      <c r="C76" s="0" t="s">
        <v>85</v>
      </c>
      <c r="D76" s="0" t="s">
        <v>40</v>
      </c>
      <c r="E76" s="98" t="n">
        <f aca="false">E75*E12</f>
        <v>96780.37</v>
      </c>
    </row>
    <row r="77" customFormat="false" ht="15" hidden="false" customHeight="false" outlineLevel="0" collapsed="false">
      <c r="B77" s="91" t="s">
        <v>86</v>
      </c>
      <c r="C77" s="0" t="s">
        <v>51</v>
      </c>
      <c r="D77" s="0" t="s">
        <v>40</v>
      </c>
      <c r="E77" s="93" t="n">
        <f aca="false">E9</f>
        <v>43698.82</v>
      </c>
    </row>
    <row r="78" customFormat="false" ht="15" hidden="false" customHeight="false" outlineLevel="0" collapsed="false">
      <c r="B78" s="91"/>
      <c r="E78" s="93"/>
    </row>
    <row r="79" customFormat="false" ht="15" hidden="false" customHeight="false" outlineLevel="0" collapsed="false">
      <c r="B79" s="91" t="s">
        <v>87</v>
      </c>
      <c r="C79" s="0" t="s">
        <v>88</v>
      </c>
      <c r="D79" s="0" t="s">
        <v>89</v>
      </c>
      <c r="E79" s="104" t="n">
        <f aca="false">E77/E76</f>
        <v>0.4515</v>
      </c>
      <c r="F79" s="112" t="n">
        <f aca="false">1-E79</f>
        <v>0.5485</v>
      </c>
    </row>
    <row r="80" customFormat="false" ht="15" hidden="false" customHeight="false" outlineLevel="0" collapsed="false">
      <c r="B80" s="91"/>
      <c r="E80" s="93"/>
    </row>
    <row r="81" customFormat="false" ht="15" hidden="false" customHeight="false" outlineLevel="0" collapsed="false">
      <c r="B81" s="91" t="s">
        <v>73</v>
      </c>
      <c r="D81" s="0" t="s">
        <v>74</v>
      </c>
      <c r="E81" s="93" t="n">
        <v>839</v>
      </c>
    </row>
    <row r="82" customFormat="false" ht="15" hidden="false" customHeight="false" outlineLevel="0" collapsed="false">
      <c r="B82" s="91" t="s">
        <v>75</v>
      </c>
      <c r="D82" s="0" t="s">
        <v>74</v>
      </c>
      <c r="E82" s="98" t="n">
        <f aca="false">E70*E81</f>
        <v>168639</v>
      </c>
    </row>
    <row r="83" customFormat="false" ht="15" hidden="false" customHeight="false" outlineLevel="0" collapsed="false">
      <c r="B83" s="91" t="s">
        <v>101</v>
      </c>
      <c r="D83" s="0" t="s">
        <v>74</v>
      </c>
      <c r="E83" s="98" t="n">
        <f aca="false">C65*E56</f>
        <v>62967</v>
      </c>
    </row>
    <row r="84" customFormat="false" ht="15" hidden="false" customHeight="false" outlineLevel="0" collapsed="false">
      <c r="B84" s="94" t="s">
        <v>102</v>
      </c>
      <c r="C84" s="95"/>
      <c r="D84" s="95" t="s">
        <v>74</v>
      </c>
      <c r="E84" s="101" t="n">
        <f aca="false">SUM(E82:E83)</f>
        <v>231606</v>
      </c>
    </row>
  </sheetData>
  <mergeCells count="7">
    <mergeCell ref="B5:E5"/>
    <mergeCell ref="B14:E14"/>
    <mergeCell ref="B27:E27"/>
    <mergeCell ref="B48:E48"/>
    <mergeCell ref="B53:E53"/>
    <mergeCell ref="B58:E58"/>
    <mergeCell ref="B63:E63"/>
  </mergeCells>
  <printOptions headings="false" gridLines="false" gridLinesSet="true" horizontalCentered="false" verticalCentered="false"/>
  <pageMargins left="0" right="0" top="0.39375" bottom="0.39375" header="0" footer="0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I8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40.71"/>
    <col collapsed="false" customWidth="true" hidden="false" outlineLevel="0" max="3" min="3" style="0" width="48.15"/>
    <col collapsed="false" customWidth="true" hidden="false" outlineLevel="0" max="4" min="4" style="0" width="12.14"/>
    <col collapsed="false" customWidth="true" hidden="false" outlineLevel="0" max="5" min="5" style="0" width="18.42"/>
    <col collapsed="false" customWidth="true" hidden="false" outlineLevel="0" max="8" min="6" style="0" width="12.14"/>
    <col collapsed="false" customWidth="true" hidden="false" outlineLevel="0" max="9" min="9" style="0" width="17.14"/>
    <col collapsed="false" customWidth="true" hidden="false" outlineLevel="0" max="64" min="10" style="0" width="9.14"/>
  </cols>
  <sheetData>
    <row r="5" customFormat="false" ht="15" hidden="false" customHeight="false" outlineLevel="0" collapsed="false">
      <c r="B5" s="83" t="s">
        <v>158</v>
      </c>
      <c r="C5" s="83"/>
      <c r="D5" s="83"/>
      <c r="E5" s="83"/>
    </row>
    <row r="6" customFormat="false" ht="15" hidden="false" customHeight="false" outlineLevel="0" collapsed="false">
      <c r="B6" s="0" t="s">
        <v>45</v>
      </c>
      <c r="C6" s="2" t="s">
        <v>24</v>
      </c>
      <c r="I6" s="84" t="str">
        <f aca="false">B5</f>
        <v>ALMOXARIFADO</v>
      </c>
    </row>
    <row r="7" customFormat="false" ht="15" hidden="false" customHeight="false" outlineLevel="0" collapsed="false">
      <c r="B7" s="0" t="s">
        <v>46</v>
      </c>
      <c r="D7" s="0" t="s">
        <v>47</v>
      </c>
      <c r="E7" s="18" t="n">
        <v>440</v>
      </c>
      <c r="H7" s="78" t="n">
        <v>43466</v>
      </c>
      <c r="I7" s="106" t="n">
        <v>1352</v>
      </c>
    </row>
    <row r="8" customFormat="false" ht="15" hidden="false" customHeight="false" outlineLevel="0" collapsed="false">
      <c r="B8" s="0" t="s">
        <v>48</v>
      </c>
      <c r="E8" s="18" t="s">
        <v>157</v>
      </c>
      <c r="H8" s="78" t="n">
        <v>43497</v>
      </c>
      <c r="I8" s="106" t="n">
        <v>1352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I20*12</f>
        <v>16085.16</v>
      </c>
      <c r="H9" s="78" t="n">
        <v>43525</v>
      </c>
      <c r="I9" s="106" t="n">
        <v>1181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5.25</v>
      </c>
      <c r="H10" s="78" t="n">
        <v>43556</v>
      </c>
      <c r="I10" s="106" t="n">
        <v>1262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0.75</v>
      </c>
      <c r="H11" s="78" t="n">
        <v>43586</v>
      </c>
      <c r="I11" s="106" t="n">
        <v>1255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1437.19</v>
      </c>
      <c r="H12" s="78" t="n">
        <v>43617</v>
      </c>
      <c r="I12" s="106" t="n">
        <v>1113</v>
      </c>
    </row>
    <row r="13" customFormat="false" ht="15" hidden="false" customHeight="false" outlineLevel="0" collapsed="false">
      <c r="H13" s="78" t="n">
        <v>43647</v>
      </c>
      <c r="I13" s="106" t="n">
        <v>972</v>
      </c>
    </row>
    <row r="14" customFormat="false" ht="15" hidden="false" customHeight="false" outlineLevel="0" collapsed="false">
      <c r="B14" s="88" t="s">
        <v>60</v>
      </c>
      <c r="C14" s="88"/>
      <c r="D14" s="88"/>
      <c r="E14" s="88"/>
      <c r="H14" s="78" t="n">
        <v>43678</v>
      </c>
      <c r="I14" s="106" t="n">
        <v>1325</v>
      </c>
    </row>
    <row r="15" customFormat="false" ht="15" hidden="false" customHeight="false" outlineLevel="0" collapsed="false">
      <c r="H15" s="78" t="n">
        <v>43709</v>
      </c>
      <c r="I15" s="106" t="n">
        <v>1748</v>
      </c>
    </row>
    <row r="16" customFormat="false" ht="15" hidden="false" customHeight="false" outlineLevel="0" collapsed="false">
      <c r="B16" s="0" t="s">
        <v>61</v>
      </c>
      <c r="C16" s="0" t="s">
        <v>62</v>
      </c>
      <c r="D16" s="0" t="s">
        <v>63</v>
      </c>
      <c r="E16" s="89" t="n">
        <f aca="false">E9/E12</f>
        <v>11.19</v>
      </c>
      <c r="H16" s="78" t="n">
        <v>43739</v>
      </c>
      <c r="I16" s="106" t="n">
        <v>1758</v>
      </c>
    </row>
    <row r="17" customFormat="false" ht="15" hidden="false" customHeight="false" outlineLevel="0" collapsed="false">
      <c r="H17" s="78" t="n">
        <v>43770</v>
      </c>
      <c r="I17" s="106" t="n">
        <v>1434</v>
      </c>
    </row>
    <row r="18" customFormat="false" ht="15" hidden="false" customHeight="false" outlineLevel="0" collapsed="false">
      <c r="B18" s="109" t="s">
        <v>65</v>
      </c>
      <c r="C18" s="110"/>
      <c r="D18" s="110" t="s">
        <v>66</v>
      </c>
      <c r="E18" s="111" t="n">
        <v>335</v>
      </c>
      <c r="H18" s="78" t="n">
        <v>43800</v>
      </c>
      <c r="I18" s="106" t="n">
        <v>1333.16</v>
      </c>
    </row>
    <row r="19" customFormat="false" ht="15" hidden="false" customHeight="false" outlineLevel="0" collapsed="false">
      <c r="B19" s="91" t="s">
        <v>67</v>
      </c>
      <c r="C19" s="0" t="s">
        <v>68</v>
      </c>
      <c r="D19" s="0" t="s">
        <v>69</v>
      </c>
      <c r="E19" s="93" t="n">
        <f aca="false">E16*1000/E18</f>
        <v>33.4</v>
      </c>
    </row>
    <row r="20" customFormat="false" ht="15" hidden="false" customHeight="false" outlineLevel="0" collapsed="false">
      <c r="B20" s="91" t="s">
        <v>70</v>
      </c>
      <c r="D20" s="0" t="s">
        <v>47</v>
      </c>
      <c r="E20" s="93" t="n">
        <v>1.98</v>
      </c>
      <c r="H20" s="0" t="s">
        <v>39</v>
      </c>
      <c r="I20" s="0" t="n">
        <f aca="false">(SUM(I7:I18))/12</f>
        <v>1340.43</v>
      </c>
    </row>
    <row r="21" customFormat="false" ht="15" hidden="false" customHeight="false" outlineLevel="0" collapsed="false">
      <c r="B21" s="91" t="s">
        <v>71</v>
      </c>
      <c r="C21" s="0" t="s">
        <v>72</v>
      </c>
      <c r="D21" s="0" t="s">
        <v>47</v>
      </c>
      <c r="E21" s="93" t="n">
        <f aca="false">E19*E20</f>
        <v>66.13</v>
      </c>
    </row>
    <row r="22" customFormat="false" ht="15" hidden="false" customHeight="false" outlineLevel="0" collapsed="false">
      <c r="B22" s="91" t="s">
        <v>73</v>
      </c>
      <c r="D22" s="0" t="s">
        <v>74</v>
      </c>
      <c r="E22" s="93" t="n">
        <v>839</v>
      </c>
    </row>
    <row r="23" customFormat="false" ht="15" hidden="false" customHeight="false" outlineLevel="0" collapsed="false">
      <c r="B23" s="91"/>
      <c r="E23" s="97"/>
    </row>
    <row r="24" customFormat="false" ht="15" hidden="false" customHeight="false" outlineLevel="0" collapsed="false">
      <c r="B24" s="94" t="s">
        <v>75</v>
      </c>
      <c r="C24" s="95"/>
      <c r="D24" s="95" t="s">
        <v>74</v>
      </c>
      <c r="E24" s="96" t="n">
        <f aca="false">E22*E19</f>
        <v>28022.6</v>
      </c>
    </row>
    <row r="27" customFormat="false" ht="15" hidden="false" customHeight="false" outlineLevel="0" collapsed="false">
      <c r="B27" s="88" t="s">
        <v>77</v>
      </c>
      <c r="C27" s="88"/>
      <c r="D27" s="88"/>
      <c r="E27" s="88"/>
    </row>
    <row r="29" customFormat="false" ht="15" hidden="false" customHeight="false" outlineLevel="0" collapsed="false">
      <c r="B29" s="0" t="s">
        <v>78</v>
      </c>
      <c r="C29" s="0" t="s">
        <v>79</v>
      </c>
      <c r="D29" s="0" t="s">
        <v>47</v>
      </c>
      <c r="E29" s="89" t="n">
        <f aca="false">E7*0.8</f>
        <v>352</v>
      </c>
    </row>
    <row r="30" customFormat="false" ht="15" hidden="false" customHeight="false" outlineLevel="0" collapsed="false">
      <c r="E30" s="18"/>
    </row>
    <row r="31" customFormat="false" ht="15" hidden="false" customHeight="false" outlineLevel="0" collapsed="false">
      <c r="E31" s="18"/>
    </row>
    <row r="32" customFormat="false" ht="15" hidden="false" customHeight="false" outlineLevel="0" collapsed="false">
      <c r="E32" s="18"/>
    </row>
    <row r="33" customFormat="false" ht="15" hidden="false" customHeight="false" outlineLevel="0" collapsed="false">
      <c r="E33" s="18"/>
    </row>
    <row r="34" customFormat="false" ht="15" hidden="false" customHeight="false" outlineLevel="0" collapsed="false">
      <c r="B34" s="109" t="s">
        <v>70</v>
      </c>
      <c r="C34" s="110"/>
      <c r="D34" s="110" t="s">
        <v>47</v>
      </c>
      <c r="E34" s="111" t="n">
        <v>1.98</v>
      </c>
    </row>
    <row r="35" customFormat="false" ht="15" hidden="false" customHeight="false" outlineLevel="0" collapsed="false">
      <c r="B35" s="91" t="s">
        <v>67</v>
      </c>
      <c r="C35" s="0" t="s">
        <v>80</v>
      </c>
      <c r="D35" s="0" t="s">
        <v>69</v>
      </c>
      <c r="E35" s="98" t="n">
        <f aca="false">E29/E34</f>
        <v>177.78</v>
      </c>
    </row>
    <row r="36" customFormat="false" ht="15" hidden="false" customHeight="false" outlineLevel="0" collapsed="false">
      <c r="B36" s="91" t="s">
        <v>81</v>
      </c>
      <c r="D36" s="0" t="s">
        <v>69</v>
      </c>
      <c r="E36" s="98" t="n">
        <v>177</v>
      </c>
    </row>
    <row r="37" customFormat="false" ht="15" hidden="false" customHeight="false" outlineLevel="0" collapsed="false">
      <c r="B37" s="91" t="s">
        <v>65</v>
      </c>
      <c r="D37" s="0" t="s">
        <v>66</v>
      </c>
      <c r="E37" s="93" t="n">
        <v>335</v>
      </c>
    </row>
    <row r="38" customFormat="false" ht="15" hidden="false" customHeight="false" outlineLevel="0" collapsed="false">
      <c r="B38" s="91" t="s">
        <v>82</v>
      </c>
      <c r="C38" s="0" t="s">
        <v>83</v>
      </c>
      <c r="D38" s="0" t="s">
        <v>63</v>
      </c>
      <c r="E38" s="98" t="n">
        <f aca="false">(E36*E37)/1000</f>
        <v>59.3</v>
      </c>
    </row>
    <row r="39" customFormat="false" ht="15" hidden="false" customHeight="false" outlineLevel="0" collapsed="false">
      <c r="B39" s="91"/>
      <c r="E39" s="93"/>
    </row>
    <row r="40" customFormat="false" ht="15" hidden="false" customHeight="false" outlineLevel="0" collapsed="false">
      <c r="B40" s="91" t="s">
        <v>84</v>
      </c>
      <c r="C40" s="0" t="s">
        <v>85</v>
      </c>
      <c r="D40" s="0" t="s">
        <v>40</v>
      </c>
      <c r="E40" s="98" t="n">
        <f aca="false">E38*E12</f>
        <v>85225.37</v>
      </c>
    </row>
    <row r="41" customFormat="false" ht="15" hidden="false" customHeight="false" outlineLevel="0" collapsed="false">
      <c r="B41" s="91" t="s">
        <v>86</v>
      </c>
      <c r="C41" s="0" t="s">
        <v>51</v>
      </c>
      <c r="D41" s="0" t="s">
        <v>40</v>
      </c>
      <c r="E41" s="93" t="n">
        <f aca="false">E9</f>
        <v>16085.16</v>
      </c>
    </row>
    <row r="42" customFormat="false" ht="15" hidden="false" customHeight="false" outlineLevel="0" collapsed="false">
      <c r="B42" s="91"/>
      <c r="E42" s="93"/>
    </row>
    <row r="43" customFormat="false" ht="15" hidden="false" customHeight="false" outlineLevel="0" collapsed="false">
      <c r="B43" s="91" t="s">
        <v>87</v>
      </c>
      <c r="C43" s="0" t="s">
        <v>88</v>
      </c>
      <c r="D43" s="0" t="s">
        <v>89</v>
      </c>
      <c r="E43" s="100" t="n">
        <f aca="false">E41/E40</f>
        <v>0.19</v>
      </c>
    </row>
    <row r="44" customFormat="false" ht="15" hidden="false" customHeight="false" outlineLevel="0" collapsed="false">
      <c r="B44" s="91"/>
      <c r="E44" s="93"/>
    </row>
    <row r="45" customFormat="false" ht="15" hidden="false" customHeight="false" outlineLevel="0" collapsed="false">
      <c r="B45" s="91" t="s">
        <v>73</v>
      </c>
      <c r="D45" s="0" t="s">
        <v>74</v>
      </c>
      <c r="E45" s="93" t="n">
        <v>839</v>
      </c>
    </row>
    <row r="46" customFormat="false" ht="15" hidden="false" customHeight="false" outlineLevel="0" collapsed="false">
      <c r="B46" s="94" t="s">
        <v>75</v>
      </c>
      <c r="C46" s="95"/>
      <c r="D46" s="95" t="s">
        <v>74</v>
      </c>
      <c r="E46" s="101" t="n">
        <f aca="false">E45*E36</f>
        <v>148503</v>
      </c>
    </row>
    <row r="48" customFormat="false" ht="15" hidden="false" customHeight="false" outlineLevel="0" collapsed="false">
      <c r="B48" s="102" t="s">
        <v>90</v>
      </c>
      <c r="C48" s="102"/>
      <c r="D48" s="102"/>
      <c r="E48" s="102"/>
    </row>
    <row r="50" customFormat="false" ht="15" hidden="false" customHeight="false" outlineLevel="0" collapsed="false">
      <c r="B50" s="0" t="s">
        <v>91</v>
      </c>
      <c r="D50" s="0" t="s">
        <v>63</v>
      </c>
      <c r="E50" s="103" t="n">
        <v>30</v>
      </c>
    </row>
    <row r="51" customFormat="false" ht="15" hidden="false" customHeight="false" outlineLevel="0" collapsed="false">
      <c r="D51" s="0" t="s">
        <v>92</v>
      </c>
      <c r="E51" s="93" t="n">
        <v>21339</v>
      </c>
    </row>
    <row r="53" customFormat="false" ht="15" hidden="false" customHeight="false" outlineLevel="0" collapsed="false">
      <c r="B53" s="102" t="s">
        <v>93</v>
      </c>
      <c r="C53" s="102"/>
      <c r="D53" s="102"/>
      <c r="E53" s="102"/>
    </row>
    <row r="55" customFormat="false" ht="15" hidden="false" customHeight="false" outlineLevel="0" collapsed="false">
      <c r="B55" s="0" t="s">
        <v>91</v>
      </c>
      <c r="D55" s="0" t="s">
        <v>63</v>
      </c>
      <c r="E55" s="103" t="n">
        <v>22.5</v>
      </c>
    </row>
    <row r="56" customFormat="false" ht="15" hidden="false" customHeight="false" outlineLevel="0" collapsed="false">
      <c r="D56" s="0" t="s">
        <v>92</v>
      </c>
      <c r="E56" s="93" t="n">
        <v>20989</v>
      </c>
    </row>
    <row r="58" customFormat="false" ht="15" hidden="false" customHeight="false" outlineLevel="0" collapsed="false">
      <c r="B58" s="102" t="s">
        <v>94</v>
      </c>
      <c r="C58" s="102"/>
      <c r="D58" s="102"/>
      <c r="E58" s="102"/>
    </row>
    <row r="60" customFormat="false" ht="15" hidden="false" customHeight="false" outlineLevel="0" collapsed="false">
      <c r="B60" s="0" t="s">
        <v>91</v>
      </c>
      <c r="D60" s="0" t="s">
        <v>63</v>
      </c>
      <c r="E60" s="103" t="n">
        <v>45</v>
      </c>
    </row>
    <row r="61" customFormat="false" ht="15" hidden="false" customHeight="false" outlineLevel="0" collapsed="false">
      <c r="D61" s="0" t="s">
        <v>92</v>
      </c>
      <c r="E61" s="93" t="n">
        <v>29229</v>
      </c>
    </row>
    <row r="63" customFormat="false" ht="15" hidden="false" customHeight="false" outlineLevel="0" collapsed="false">
      <c r="B63" s="88" t="s">
        <v>95</v>
      </c>
      <c r="C63" s="88"/>
      <c r="D63" s="88"/>
      <c r="E63" s="88"/>
    </row>
    <row r="64" customFormat="false" ht="15" hidden="false" customHeight="false" outlineLevel="0" collapsed="false">
      <c r="C64" s="2" t="s">
        <v>96</v>
      </c>
    </row>
    <row r="65" customFormat="false" ht="15" hidden="false" customHeight="false" outlineLevel="0" collapsed="false">
      <c r="B65" s="0" t="s">
        <v>97</v>
      </c>
      <c r="C65" s="2" t="n">
        <v>2</v>
      </c>
      <c r="D65" s="0" t="s">
        <v>63</v>
      </c>
      <c r="E65" s="89" t="n">
        <f aca="false">C65*E55</f>
        <v>45</v>
      </c>
    </row>
    <row r="66" customFormat="false" ht="15" hidden="false" customHeight="false" outlineLevel="0" collapsed="false">
      <c r="E66" s="18"/>
    </row>
    <row r="68" customFormat="false" ht="15" hidden="false" customHeight="false" outlineLevel="0" collapsed="false">
      <c r="B68" s="109" t="s">
        <v>65</v>
      </c>
      <c r="C68" s="110"/>
      <c r="D68" s="110" t="s">
        <v>66</v>
      </c>
      <c r="E68" s="111" t="n">
        <v>335</v>
      </c>
    </row>
    <row r="69" customFormat="false" ht="15" hidden="false" customHeight="false" outlineLevel="0" collapsed="false">
      <c r="B69" s="91" t="s">
        <v>67</v>
      </c>
      <c r="C69" s="0" t="s">
        <v>103</v>
      </c>
      <c r="D69" s="0" t="s">
        <v>69</v>
      </c>
      <c r="E69" s="98" t="n">
        <f aca="false">(E65/E68)*1000</f>
        <v>134.33</v>
      </c>
    </row>
    <row r="70" customFormat="false" ht="15" hidden="false" customHeight="false" outlineLevel="0" collapsed="false">
      <c r="B70" s="91" t="s">
        <v>81</v>
      </c>
      <c r="D70" s="0" t="s">
        <v>69</v>
      </c>
      <c r="E70" s="98" t="n">
        <v>134</v>
      </c>
    </row>
    <row r="71" customFormat="false" ht="15" hidden="false" customHeight="false" outlineLevel="0" collapsed="false">
      <c r="B71" s="91" t="s">
        <v>70</v>
      </c>
      <c r="D71" s="0" t="s">
        <v>47</v>
      </c>
      <c r="E71" s="93" t="n">
        <v>1.98</v>
      </c>
    </row>
    <row r="72" customFormat="false" ht="15" hidden="false" customHeight="false" outlineLevel="0" collapsed="false">
      <c r="B72" s="91" t="s">
        <v>99</v>
      </c>
      <c r="C72" s="0" t="s">
        <v>72</v>
      </c>
      <c r="D72" s="0" t="s">
        <v>47</v>
      </c>
      <c r="E72" s="98" t="n">
        <f aca="false">E71*E70</f>
        <v>265.32</v>
      </c>
    </row>
    <row r="73" customFormat="false" ht="15" hidden="false" customHeight="false" outlineLevel="0" collapsed="false">
      <c r="B73" s="91" t="s">
        <v>99</v>
      </c>
      <c r="D73" s="41" t="s">
        <v>89</v>
      </c>
      <c r="E73" s="100" t="n">
        <f aca="false">E72/E7</f>
        <v>0.6</v>
      </c>
    </row>
    <row r="74" customFormat="false" ht="15" hidden="false" customHeight="false" outlineLevel="0" collapsed="false">
      <c r="B74" s="91"/>
      <c r="D74" s="41"/>
      <c r="E74" s="100"/>
    </row>
    <row r="75" customFormat="false" ht="15" hidden="false" customHeight="false" outlineLevel="0" collapsed="false">
      <c r="B75" s="91" t="s">
        <v>82</v>
      </c>
      <c r="C75" s="0" t="s">
        <v>83</v>
      </c>
      <c r="D75" s="0" t="s">
        <v>63</v>
      </c>
      <c r="E75" s="93" t="n">
        <f aca="false">E70*E68/1000</f>
        <v>44.89</v>
      </c>
    </row>
    <row r="76" customFormat="false" ht="15" hidden="false" customHeight="false" outlineLevel="0" collapsed="false">
      <c r="B76" s="91" t="s">
        <v>84</v>
      </c>
      <c r="C76" s="0" t="s">
        <v>85</v>
      </c>
      <c r="D76" s="0" t="s">
        <v>40</v>
      </c>
      <c r="E76" s="98" t="n">
        <f aca="false">E75*E12</f>
        <v>64515.46</v>
      </c>
    </row>
    <row r="77" customFormat="false" ht="15" hidden="false" customHeight="false" outlineLevel="0" collapsed="false">
      <c r="B77" s="91" t="s">
        <v>86</v>
      </c>
      <c r="C77" s="0" t="s">
        <v>51</v>
      </c>
      <c r="D77" s="0" t="s">
        <v>40</v>
      </c>
      <c r="E77" s="93" t="n">
        <f aca="false">E9</f>
        <v>16085.16</v>
      </c>
    </row>
    <row r="78" customFormat="false" ht="15" hidden="false" customHeight="false" outlineLevel="0" collapsed="false">
      <c r="B78" s="91"/>
      <c r="E78" s="93"/>
    </row>
    <row r="79" customFormat="false" ht="15" hidden="false" customHeight="false" outlineLevel="0" collapsed="false">
      <c r="B79" s="91" t="s">
        <v>87</v>
      </c>
      <c r="C79" s="0" t="s">
        <v>88</v>
      </c>
      <c r="D79" s="0" t="s">
        <v>89</v>
      </c>
      <c r="E79" s="104" t="n">
        <f aca="false">E77/E76</f>
        <v>0.2493</v>
      </c>
      <c r="F79" s="112" t="n">
        <f aca="false">1-E79</f>
        <v>0.7507</v>
      </c>
    </row>
    <row r="80" customFormat="false" ht="15" hidden="false" customHeight="false" outlineLevel="0" collapsed="false">
      <c r="B80" s="91"/>
      <c r="E80" s="93"/>
    </row>
    <row r="81" customFormat="false" ht="15" hidden="false" customHeight="false" outlineLevel="0" collapsed="false">
      <c r="B81" s="91" t="s">
        <v>73</v>
      </c>
      <c r="D81" s="0" t="s">
        <v>74</v>
      </c>
      <c r="E81" s="93" t="n">
        <v>839</v>
      </c>
    </row>
    <row r="82" customFormat="false" ht="15" hidden="false" customHeight="false" outlineLevel="0" collapsed="false">
      <c r="B82" s="91" t="s">
        <v>75</v>
      </c>
      <c r="D82" s="0" t="s">
        <v>74</v>
      </c>
      <c r="E82" s="98" t="n">
        <f aca="false">E70*E81</f>
        <v>112426</v>
      </c>
    </row>
    <row r="83" customFormat="false" ht="15" hidden="false" customHeight="false" outlineLevel="0" collapsed="false">
      <c r="B83" s="91" t="s">
        <v>101</v>
      </c>
      <c r="D83" s="0" t="s">
        <v>74</v>
      </c>
      <c r="E83" s="98" t="n">
        <f aca="false">C65*E56</f>
        <v>41978</v>
      </c>
    </row>
    <row r="84" customFormat="false" ht="15" hidden="false" customHeight="false" outlineLevel="0" collapsed="false">
      <c r="B84" s="94" t="s">
        <v>102</v>
      </c>
      <c r="C84" s="95"/>
      <c r="D84" s="95" t="s">
        <v>74</v>
      </c>
      <c r="E84" s="101" t="n">
        <f aca="false">SUM(E82:E83)</f>
        <v>154404</v>
      </c>
    </row>
  </sheetData>
  <mergeCells count="7">
    <mergeCell ref="B5:E5"/>
    <mergeCell ref="B14:E14"/>
    <mergeCell ref="B27:E27"/>
    <mergeCell ref="B48:E48"/>
    <mergeCell ref="B53:E53"/>
    <mergeCell ref="B58:E58"/>
    <mergeCell ref="B63:E63"/>
  </mergeCells>
  <printOptions headings="false" gridLines="false" gridLinesSet="true" horizontalCentered="false" verticalCentered="false"/>
  <pageMargins left="0" right="0" top="0.39375" bottom="0.39375" header="0" footer="0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26"/>
    <col collapsed="false" customWidth="true" hidden="false" outlineLevel="0" max="2" min="2" style="0" width="28.29"/>
    <col collapsed="false" customWidth="true" hidden="false" outlineLevel="0" max="3" min="3" style="0" width="11.14"/>
    <col collapsed="false" customWidth="true" hidden="false" outlineLevel="0" max="64" min="4" style="0" width="9.14"/>
  </cols>
  <sheetData>
    <row r="1" customFormat="false" ht="15" hidden="false" customHeight="false" outlineLevel="0" collapsed="false">
      <c r="A1" s="0" t="s">
        <v>8</v>
      </c>
      <c r="B1" s="2" t="s">
        <v>159</v>
      </c>
      <c r="C1" s="2" t="s">
        <v>160</v>
      </c>
    </row>
    <row r="2" customFormat="false" ht="15" hidden="false" customHeight="false" outlineLevel="0" collapsed="false">
      <c r="A2" s="0" t="str">
        <f aca="false">COMPENSAÇÃO!C7</f>
        <v>ANÁPOLIS</v>
      </c>
      <c r="B2" s="20" t="n">
        <v>71423.28</v>
      </c>
      <c r="C2" s="2" t="n">
        <v>2019</v>
      </c>
    </row>
    <row r="3" customFormat="false" ht="15" hidden="false" customHeight="false" outlineLevel="0" collapsed="false">
      <c r="A3" s="0" t="str">
        <f aca="false">COMPENSAÇÃO!C8</f>
        <v>APARECIDA_DE_GOIÂNIA</v>
      </c>
      <c r="B3" s="20" t="n">
        <v>54944.66</v>
      </c>
      <c r="C3" s="2" t="n">
        <v>2019</v>
      </c>
    </row>
    <row r="4" customFormat="false" ht="15" hidden="false" customHeight="false" outlineLevel="0" collapsed="false">
      <c r="A4" s="0" t="str">
        <f aca="false">COMPENSAÇÃO!C9</f>
        <v>CALDAS_NOVAS</v>
      </c>
      <c r="B4" s="20" t="n">
        <v>28920.9</v>
      </c>
      <c r="C4" s="2" t="n">
        <v>2019</v>
      </c>
    </row>
    <row r="5" customFormat="false" ht="15" hidden="false" customHeight="false" outlineLevel="0" collapsed="false">
      <c r="A5" s="0" t="str">
        <f aca="false">COMPENSAÇÃO!C10</f>
        <v>CATALÃO</v>
      </c>
      <c r="B5" s="20" t="n">
        <v>33592.59</v>
      </c>
      <c r="C5" s="2" t="n">
        <v>2019</v>
      </c>
    </row>
    <row r="6" customFormat="false" ht="15" hidden="false" customHeight="false" outlineLevel="0" collapsed="false">
      <c r="A6" s="0" t="str">
        <f aca="false">COMPENSAÇÃO!C11</f>
        <v>CERES</v>
      </c>
      <c r="B6" s="20" t="n">
        <v>28608.64</v>
      </c>
      <c r="C6" s="2" t="n">
        <v>2019</v>
      </c>
    </row>
    <row r="7" customFormat="false" ht="15" hidden="false" customHeight="false" outlineLevel="0" collapsed="false">
      <c r="A7" s="0" t="str">
        <f aca="false">COMPENSAÇÃO!C12</f>
        <v>FORMOSA</v>
      </c>
      <c r="B7" s="20" t="n">
        <v>18525.89</v>
      </c>
      <c r="C7" s="2" t="n">
        <v>2018</v>
      </c>
    </row>
    <row r="8" customFormat="false" ht="15" hidden="false" customHeight="false" outlineLevel="0" collapsed="false">
      <c r="A8" s="0" t="str">
        <f aca="false">COMPENSAÇÃO!C13</f>
        <v>GOIANÉSIA</v>
      </c>
      <c r="B8" s="20" t="n">
        <v>43676.87</v>
      </c>
      <c r="C8" s="2" t="n">
        <v>2019</v>
      </c>
    </row>
    <row r="9" customFormat="false" ht="15" hidden="false" customHeight="false" outlineLevel="0" collapsed="false">
      <c r="A9" s="0" t="str">
        <f aca="false">COMPENSAÇÃO!C14</f>
        <v>GOIÁS</v>
      </c>
      <c r="B9" s="20" t="n">
        <v>20993.38</v>
      </c>
      <c r="C9" s="2" t="n">
        <v>2019</v>
      </c>
    </row>
    <row r="10" customFormat="false" ht="15" hidden="false" customHeight="false" outlineLevel="0" collapsed="false">
      <c r="A10" s="0" t="str">
        <f aca="false">COMPENSAÇÃO!C15</f>
        <v>GOIATUBA</v>
      </c>
      <c r="B10" s="20" t="n">
        <v>24177.47</v>
      </c>
      <c r="C10" s="2" t="n">
        <v>2019</v>
      </c>
    </row>
    <row r="11" customFormat="false" ht="15" hidden="false" customHeight="false" outlineLevel="0" collapsed="false">
      <c r="A11" s="0" t="str">
        <f aca="false">COMPENSAÇÃO!C16</f>
        <v>INHUMAS</v>
      </c>
      <c r="B11" s="20" t="n">
        <v>21309.52</v>
      </c>
      <c r="C11" s="2" t="n">
        <v>2019</v>
      </c>
    </row>
    <row r="12" customFormat="false" ht="15" hidden="false" customHeight="false" outlineLevel="0" collapsed="false">
      <c r="A12" s="0" t="str">
        <f aca="false">COMPENSAÇÃO!C17</f>
        <v>IPORÁ</v>
      </c>
      <c r="B12" s="20" t="n">
        <v>17823.27</v>
      </c>
      <c r="C12" s="2" t="n">
        <v>2017</v>
      </c>
    </row>
    <row r="13" customFormat="false" ht="15" hidden="false" customHeight="false" outlineLevel="0" collapsed="false">
      <c r="A13" s="0" t="str">
        <f aca="false">COMPENSAÇÃO!C18</f>
        <v>ITUMBIARA</v>
      </c>
      <c r="B13" s="20" t="n">
        <v>61526.54</v>
      </c>
      <c r="C13" s="2" t="n">
        <v>2019</v>
      </c>
    </row>
    <row r="14" customFormat="false" ht="15" hidden="false" customHeight="false" outlineLevel="0" collapsed="false">
      <c r="A14" s="0" t="str">
        <f aca="false">COMPENSAÇÃO!C19</f>
        <v>JATAÍ</v>
      </c>
      <c r="B14" s="20" t="n">
        <v>23672.81</v>
      </c>
      <c r="C14" s="2" t="n">
        <v>2019</v>
      </c>
    </row>
    <row r="15" customFormat="false" ht="15" hidden="false" customHeight="false" outlineLevel="0" collapsed="false">
      <c r="A15" s="0" t="str">
        <f aca="false">COMPENSAÇÃO!C20</f>
        <v>LUZIÂNIA</v>
      </c>
      <c r="B15" s="20" t="n">
        <v>43358.35</v>
      </c>
      <c r="C15" s="2" t="n">
        <v>2019</v>
      </c>
    </row>
    <row r="16" customFormat="false" ht="15" hidden="false" customHeight="false" outlineLevel="0" collapsed="false">
      <c r="A16" s="0" t="str">
        <f aca="false">COMPENSAÇÃO!C21</f>
        <v>MINEIROS</v>
      </c>
      <c r="B16" s="20" t="n">
        <v>39665.07</v>
      </c>
      <c r="C16" s="2" t="n">
        <v>2019</v>
      </c>
    </row>
    <row r="17" customFormat="false" ht="15" hidden="false" customHeight="false" outlineLevel="0" collapsed="false">
      <c r="A17" s="0" t="str">
        <f aca="false">COMPENSAÇÃO!C22</f>
        <v>PALMEIRAS_DE_GOIÁS</v>
      </c>
      <c r="B17" s="20" t="n">
        <v>27013.98</v>
      </c>
      <c r="C17" s="2" t="n">
        <v>2019</v>
      </c>
    </row>
    <row r="18" customFormat="false" ht="15" hidden="false" customHeight="false" outlineLevel="0" collapsed="false">
      <c r="A18" s="0" t="str">
        <f aca="false">COMPENSAÇÃO!C23</f>
        <v>PIRES_DO_RIO</v>
      </c>
      <c r="B18" s="20" t="n">
        <v>24042.54</v>
      </c>
      <c r="C18" s="2" t="n">
        <v>2019</v>
      </c>
    </row>
    <row r="19" customFormat="false" ht="15" hidden="false" customHeight="false" outlineLevel="0" collapsed="false">
      <c r="A19" s="0" t="str">
        <f aca="false">COMPENSAÇÃO!C24</f>
        <v>PORANGATU</v>
      </c>
      <c r="B19" s="20" t="n">
        <v>33180.56</v>
      </c>
      <c r="C19" s="2" t="n">
        <v>2019</v>
      </c>
    </row>
    <row r="20" customFormat="false" ht="15" hidden="false" customHeight="false" outlineLevel="0" collapsed="false">
      <c r="A20" s="0" t="str">
        <f aca="false">COMPENSAÇÃO!C25</f>
        <v>POSSE</v>
      </c>
      <c r="B20" s="20" t="n">
        <v>34474.67</v>
      </c>
      <c r="C20" s="2" t="n">
        <v>2019</v>
      </c>
    </row>
    <row r="21" customFormat="false" ht="15" hidden="false" customHeight="false" outlineLevel="0" collapsed="false">
      <c r="A21" s="0" t="str">
        <f aca="false">COMPENSAÇÃO!C26</f>
        <v>QUIRINÓPOLIS</v>
      </c>
      <c r="B21" s="20" t="n">
        <v>32300.64</v>
      </c>
      <c r="C21" s="2" t="n">
        <v>2019</v>
      </c>
    </row>
    <row r="22" customFormat="false" ht="15" hidden="false" customHeight="false" outlineLevel="0" collapsed="false">
      <c r="A22" s="0" t="str">
        <f aca="false">COMPENSAÇÃO!C27</f>
        <v>RIO_VERDE</v>
      </c>
      <c r="B22" s="20" t="n">
        <v>73460.75</v>
      </c>
      <c r="C22" s="2" t="n">
        <v>2019</v>
      </c>
    </row>
    <row r="23" customFormat="false" ht="15" hidden="false" customHeight="false" outlineLevel="0" collapsed="false">
      <c r="A23" s="0" t="str">
        <f aca="false">COMPENSAÇÃO!C28</f>
        <v>SÃO_LUÍS_DE_MONTES_BELOS</v>
      </c>
      <c r="B23" s="20" t="n">
        <v>20481.27</v>
      </c>
      <c r="C23" s="2" t="n">
        <v>2019</v>
      </c>
    </row>
    <row r="24" customFormat="false" ht="15" hidden="false" customHeight="false" outlineLevel="0" collapsed="false">
      <c r="A24" s="0" t="str">
        <f aca="false">COMPENSAÇÃO!C29</f>
        <v>URUAÇU</v>
      </c>
      <c r="B24" s="20" t="n">
        <v>39281.93</v>
      </c>
      <c r="C24" s="2" t="n">
        <v>2019</v>
      </c>
    </row>
    <row r="25" customFormat="false" ht="15" hidden="false" customHeight="false" outlineLevel="0" collapsed="false">
      <c r="A25" s="0" t="str">
        <f aca="false">COMPENSAÇÃO!C30</f>
        <v>VALPARAÍSO</v>
      </c>
      <c r="B25" s="20" t="n">
        <v>47882.3</v>
      </c>
      <c r="C25" s="2" t="n">
        <v>2019</v>
      </c>
    </row>
    <row r="26" customFormat="false" ht="15" hidden="false" customHeight="false" outlineLevel="0" collapsed="false">
      <c r="A26" s="0" t="e">
        <f aca="false">compensação!#REF!</f>
        <v>#VALUE!</v>
      </c>
      <c r="B26" s="20" t="n">
        <v>37891.91</v>
      </c>
      <c r="C26" s="2" t="n">
        <v>2019</v>
      </c>
    </row>
    <row r="27" customFormat="false" ht="15" hidden="false" customHeight="false" outlineLevel="0" collapsed="false">
      <c r="A27" s="0" t="e">
        <f aca="false">compensação!#REF!</f>
        <v>#VALUE!</v>
      </c>
      <c r="B27" s="20" t="n">
        <v>14196.59</v>
      </c>
      <c r="C27" s="2" t="n">
        <v>2019</v>
      </c>
    </row>
    <row r="28" customFormat="false" ht="15" hidden="false" customHeight="false" outlineLevel="0" collapsed="false">
      <c r="A28" s="0" t="s">
        <v>161</v>
      </c>
      <c r="B28" s="47" t="n">
        <v>2286846.81</v>
      </c>
      <c r="C28" s="2" t="n">
        <v>2019</v>
      </c>
    </row>
  </sheetData>
  <printOptions headings="false" gridLines="false" gridLinesSet="true" horizontalCentered="false" verticalCentered="false"/>
  <pageMargins left="0" right="0" top="0.39375" bottom="0.39375" header="0" footer="0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K1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9" activeCellId="0" sqref="K1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34"/>
    <col collapsed="false" customWidth="true" hidden="false" outlineLevel="0" max="3" min="3" style="0" width="48.86"/>
    <col collapsed="false" customWidth="true" hidden="false" outlineLevel="0" max="4" min="4" style="0" width="12.42"/>
    <col collapsed="false" customWidth="true" hidden="false" outlineLevel="0" max="5" min="5" style="0" width="23.01"/>
    <col collapsed="false" customWidth="true" hidden="false" outlineLevel="0" max="10" min="6" style="0" width="9"/>
    <col collapsed="false" customWidth="true" hidden="false" outlineLevel="0" max="11" min="11" style="0" width="13.57"/>
    <col collapsed="false" customWidth="true" hidden="false" outlineLevel="0" max="64" min="12" style="0" width="9"/>
  </cols>
  <sheetData>
    <row r="5" customFormat="false" ht="15" hidden="false" customHeight="false" outlineLevel="0" collapsed="false">
      <c r="B5" s="83" t="s">
        <v>104</v>
      </c>
      <c r="C5" s="83"/>
      <c r="D5" s="83"/>
      <c r="E5" s="83"/>
    </row>
    <row r="6" customFormat="false" ht="30" hidden="false" customHeight="false" outlineLevel="0" collapsed="false">
      <c r="B6" s="0" t="s">
        <v>45</v>
      </c>
      <c r="C6" s="2" t="s">
        <v>35</v>
      </c>
      <c r="K6" s="84" t="str">
        <f aca="false">B5</f>
        <v>APARECIDA_DE_GOIÂNIA</v>
      </c>
    </row>
    <row r="7" customFormat="false" ht="15" hidden="false" customHeight="false" outlineLevel="0" collapsed="false">
      <c r="B7" s="0" t="s">
        <v>46</v>
      </c>
      <c r="D7" s="0" t="s">
        <v>47</v>
      </c>
      <c r="E7" s="89" t="n">
        <v>1074.26</v>
      </c>
      <c r="J7" s="78" t="n">
        <v>43466</v>
      </c>
      <c r="K7" s="106" t="n">
        <v>4778.66</v>
      </c>
    </row>
    <row r="8" customFormat="false" ht="15" hidden="false" customHeight="false" outlineLevel="0" collapsed="false">
      <c r="B8" s="0" t="s">
        <v>48</v>
      </c>
      <c r="E8" s="18" t="s">
        <v>105</v>
      </c>
      <c r="F8" s="0" t="s">
        <v>106</v>
      </c>
      <c r="J8" s="78" t="n">
        <v>43497</v>
      </c>
      <c r="K8" s="106" t="n">
        <v>6160.2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K20*12</f>
        <v>66200.44</v>
      </c>
      <c r="F9" s="0" t="s">
        <v>107</v>
      </c>
      <c r="J9" s="78" t="n">
        <v>43525</v>
      </c>
      <c r="K9" s="106" t="n">
        <v>5336.74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5.26</v>
      </c>
      <c r="F10" s="107" t="s">
        <v>108</v>
      </c>
      <c r="J10" s="78" t="n">
        <v>43556</v>
      </c>
      <c r="K10" s="106" t="n">
        <v>5845.34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85" t="n">
        <v>0.75</v>
      </c>
      <c r="J11" s="78" t="n">
        <v>43586</v>
      </c>
      <c r="K11" s="106" t="n">
        <v>5039.19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1439.93</v>
      </c>
      <c r="J12" s="78" t="n">
        <v>43617</v>
      </c>
      <c r="K12" s="106" t="n">
        <v>5132.85</v>
      </c>
    </row>
    <row r="13" customFormat="false" ht="15" hidden="false" customHeight="false" outlineLevel="0" collapsed="false">
      <c r="J13" s="78" t="n">
        <v>43647</v>
      </c>
      <c r="K13" s="106" t="n">
        <v>4033.44</v>
      </c>
    </row>
    <row r="14" customFormat="false" ht="15" hidden="false" customHeight="false" outlineLevel="0" collapsed="false">
      <c r="J14" s="78" t="n">
        <v>43678</v>
      </c>
      <c r="K14" s="106" t="n">
        <v>3965.18</v>
      </c>
    </row>
    <row r="15" customFormat="false" ht="15" hidden="false" customHeight="false" outlineLevel="0" collapsed="false">
      <c r="B15" s="88" t="s">
        <v>60</v>
      </c>
      <c r="C15" s="88"/>
      <c r="D15" s="88"/>
      <c r="E15" s="88"/>
      <c r="J15" s="78" t="n">
        <v>43709</v>
      </c>
      <c r="K15" s="106" t="n">
        <v>5903.93</v>
      </c>
    </row>
    <row r="16" customFormat="false" ht="15" hidden="false" customHeight="false" outlineLevel="0" collapsed="false">
      <c r="J16" s="78" t="n">
        <v>43739</v>
      </c>
      <c r="K16" s="106" t="n">
        <v>7577.92</v>
      </c>
    </row>
    <row r="17" customFormat="false" ht="15" hidden="false" customHeight="false" outlineLevel="0" collapsed="false">
      <c r="B17" s="0" t="s">
        <v>61</v>
      </c>
      <c r="C17" s="0" t="s">
        <v>62</v>
      </c>
      <c r="D17" s="0" t="s">
        <v>63</v>
      </c>
      <c r="E17" s="89" t="n">
        <f aca="false">E9/E12</f>
        <v>45.97</v>
      </c>
      <c r="J17" s="78" t="n">
        <v>43770</v>
      </c>
      <c r="K17" s="106" t="n">
        <v>6917.06</v>
      </c>
    </row>
    <row r="18" customFormat="false" ht="15" hidden="false" customHeight="false" outlineLevel="0" collapsed="false">
      <c r="J18" s="78" t="n">
        <v>43800</v>
      </c>
      <c r="K18" s="106" t="n">
        <v>5509.93</v>
      </c>
    </row>
    <row r="19" customFormat="false" ht="15" hidden="false" customHeight="false" outlineLevel="0" collapsed="false">
      <c r="B19" s="90" t="s">
        <v>64</v>
      </c>
      <c r="C19" s="90"/>
      <c r="D19" s="90"/>
      <c r="E19" s="90"/>
      <c r="K19" s="31" t="n">
        <f aca="false">SUM(K7:K18)</f>
        <v>66200</v>
      </c>
    </row>
    <row r="20" customFormat="false" ht="15" hidden="false" customHeight="false" outlineLevel="0" collapsed="false">
      <c r="B20" s="91" t="s">
        <v>65</v>
      </c>
      <c r="D20" s="0" t="s">
        <v>66</v>
      </c>
      <c r="E20" s="97" t="n">
        <v>335</v>
      </c>
      <c r="J20" s="0" t="s">
        <v>39</v>
      </c>
      <c r="K20" s="0" t="n">
        <f aca="false">(SUM(K7:K18))/12</f>
        <v>5516.70333333333</v>
      </c>
    </row>
    <row r="21" customFormat="false" ht="15" hidden="false" customHeight="false" outlineLevel="0" collapsed="false">
      <c r="B21" s="91" t="s">
        <v>67</v>
      </c>
      <c r="C21" s="0" t="s">
        <v>68</v>
      </c>
      <c r="D21" s="0" t="s">
        <v>69</v>
      </c>
      <c r="E21" s="93" t="n">
        <f aca="false">(E17*1000/E20)</f>
        <v>137.22</v>
      </c>
    </row>
    <row r="22" customFormat="false" ht="15" hidden="false" customHeight="false" outlineLevel="0" collapsed="false">
      <c r="B22" s="91" t="s">
        <v>70</v>
      </c>
      <c r="D22" s="0" t="s">
        <v>47</v>
      </c>
      <c r="E22" s="93" t="n">
        <v>1.98</v>
      </c>
    </row>
    <row r="23" customFormat="false" ht="15" hidden="false" customHeight="false" outlineLevel="0" collapsed="false">
      <c r="B23" s="91" t="s">
        <v>71</v>
      </c>
      <c r="C23" s="0" t="s">
        <v>72</v>
      </c>
      <c r="D23" s="0" t="s">
        <v>47</v>
      </c>
      <c r="E23" s="93" t="n">
        <f aca="false">E21*E22</f>
        <v>271.7</v>
      </c>
    </row>
    <row r="24" customFormat="false" ht="15" hidden="false" customHeight="false" outlineLevel="0" collapsed="false">
      <c r="B24" s="91" t="s">
        <v>73</v>
      </c>
      <c r="D24" s="0" t="s">
        <v>74</v>
      </c>
      <c r="E24" s="93" t="n">
        <v>839</v>
      </c>
    </row>
    <row r="25" customFormat="false" ht="15" hidden="false" customHeight="false" outlineLevel="0" collapsed="false">
      <c r="B25" s="91"/>
      <c r="E25" s="93"/>
    </row>
    <row r="26" customFormat="false" ht="15" hidden="false" customHeight="false" outlineLevel="0" collapsed="false">
      <c r="B26" s="94" t="s">
        <v>75</v>
      </c>
      <c r="C26" s="95"/>
      <c r="D26" s="95" t="s">
        <v>74</v>
      </c>
      <c r="E26" s="96" t="n">
        <f aca="false">E24*E21</f>
        <v>115127.58</v>
      </c>
    </row>
    <row r="28" customFormat="false" ht="15" hidden="false" customHeight="false" outlineLevel="0" collapsed="false">
      <c r="B28" s="90" t="s">
        <v>76</v>
      </c>
      <c r="C28" s="90"/>
      <c r="D28" s="90"/>
      <c r="E28" s="90"/>
    </row>
    <row r="29" customFormat="false" ht="15" hidden="false" customHeight="false" outlineLevel="0" collapsed="false">
      <c r="B29" s="91" t="s">
        <v>65</v>
      </c>
      <c r="D29" s="0" t="s">
        <v>66</v>
      </c>
      <c r="E29" s="93" t="n">
        <v>400</v>
      </c>
    </row>
    <row r="30" customFormat="false" ht="15" hidden="false" customHeight="false" outlineLevel="0" collapsed="false">
      <c r="B30" s="91" t="s">
        <v>67</v>
      </c>
      <c r="C30" s="0" t="s">
        <v>68</v>
      </c>
      <c r="D30" s="0" t="s">
        <v>69</v>
      </c>
      <c r="E30" s="93" t="n">
        <f aca="false">(E17*1000)/E29</f>
        <v>114.93</v>
      </c>
    </row>
    <row r="31" customFormat="false" ht="15" hidden="false" customHeight="false" outlineLevel="0" collapsed="false">
      <c r="B31" s="91" t="s">
        <v>70</v>
      </c>
      <c r="D31" s="0" t="s">
        <v>47</v>
      </c>
      <c r="E31" s="93" t="n">
        <v>2.03</v>
      </c>
    </row>
    <row r="32" customFormat="false" ht="15" hidden="false" customHeight="false" outlineLevel="0" collapsed="false">
      <c r="B32" s="91" t="s">
        <v>71</v>
      </c>
      <c r="C32" s="0" t="s">
        <v>72</v>
      </c>
      <c r="D32" s="0" t="s">
        <v>47</v>
      </c>
      <c r="E32" s="93" t="n">
        <f aca="false">E30*E31</f>
        <v>233.31</v>
      </c>
    </row>
    <row r="33" customFormat="false" ht="15" hidden="false" customHeight="false" outlineLevel="0" collapsed="false">
      <c r="B33" s="91" t="s">
        <v>73</v>
      </c>
      <c r="D33" s="0" t="s">
        <v>74</v>
      </c>
      <c r="E33" s="93" t="n">
        <v>1129</v>
      </c>
    </row>
    <row r="34" customFormat="false" ht="15" hidden="false" customHeight="false" outlineLevel="0" collapsed="false">
      <c r="B34" s="91"/>
      <c r="E34" s="97"/>
    </row>
    <row r="35" customFormat="false" ht="15" hidden="false" customHeight="false" outlineLevel="0" collapsed="false">
      <c r="B35" s="94" t="s">
        <v>75</v>
      </c>
      <c r="C35" s="95"/>
      <c r="D35" s="95" t="s">
        <v>74</v>
      </c>
      <c r="E35" s="96" t="n">
        <f aca="false">E33*E30</f>
        <v>129755.97</v>
      </c>
    </row>
    <row r="36" customFormat="false" ht="15" hidden="false" customHeight="false" outlineLevel="0" collapsed="false">
      <c r="E36" s="18"/>
    </row>
    <row r="39" customFormat="false" ht="15" hidden="false" customHeight="false" outlineLevel="0" collapsed="false">
      <c r="B39" s="88" t="s">
        <v>77</v>
      </c>
      <c r="C39" s="88"/>
      <c r="D39" s="88"/>
      <c r="E39" s="88"/>
    </row>
    <row r="41" customFormat="false" ht="15" hidden="false" customHeight="false" outlineLevel="0" collapsed="false">
      <c r="B41" s="0" t="s">
        <v>78</v>
      </c>
      <c r="C41" s="0" t="s">
        <v>79</v>
      </c>
      <c r="D41" s="0" t="s">
        <v>47</v>
      </c>
      <c r="E41" s="89" t="n">
        <f aca="false">E7*0.8</f>
        <v>859.41</v>
      </c>
    </row>
    <row r="42" customFormat="false" ht="15" hidden="false" customHeight="false" outlineLevel="0" collapsed="false">
      <c r="E42" s="18"/>
    </row>
    <row r="43" customFormat="false" ht="15" hidden="false" customHeight="false" outlineLevel="0" collapsed="false">
      <c r="B43" s="90" t="s">
        <v>64</v>
      </c>
      <c r="C43" s="90"/>
      <c r="D43" s="90"/>
      <c r="E43" s="90"/>
    </row>
    <row r="44" customFormat="false" ht="15" hidden="false" customHeight="false" outlineLevel="0" collapsed="false">
      <c r="B44" s="91" t="s">
        <v>70</v>
      </c>
      <c r="D44" s="0" t="s">
        <v>47</v>
      </c>
      <c r="E44" s="93" t="n">
        <f aca="false">E22</f>
        <v>1.98</v>
      </c>
    </row>
    <row r="45" customFormat="false" ht="15" hidden="false" customHeight="false" outlineLevel="0" collapsed="false">
      <c r="B45" s="91" t="s">
        <v>67</v>
      </c>
      <c r="C45" s="0" t="s">
        <v>80</v>
      </c>
      <c r="D45" s="0" t="s">
        <v>69</v>
      </c>
      <c r="E45" s="98" t="n">
        <f aca="false">E41/E44</f>
        <v>434.05</v>
      </c>
    </row>
    <row r="46" customFormat="false" ht="15" hidden="false" customHeight="false" outlineLevel="0" collapsed="false">
      <c r="B46" s="91" t="s">
        <v>81</v>
      </c>
      <c r="D46" s="0" t="s">
        <v>69</v>
      </c>
      <c r="E46" s="98" t="n">
        <v>434</v>
      </c>
    </row>
    <row r="47" customFormat="false" ht="15" hidden="false" customHeight="false" outlineLevel="0" collapsed="false">
      <c r="B47" s="91" t="s">
        <v>65</v>
      </c>
      <c r="D47" s="0" t="s">
        <v>66</v>
      </c>
      <c r="E47" s="93" t="n">
        <v>335</v>
      </c>
    </row>
    <row r="48" customFormat="false" ht="15" hidden="false" customHeight="false" outlineLevel="0" collapsed="false">
      <c r="B48" s="91" t="s">
        <v>82</v>
      </c>
      <c r="C48" s="0" t="s">
        <v>83</v>
      </c>
      <c r="D48" s="0" t="s">
        <v>63</v>
      </c>
      <c r="E48" s="98" t="n">
        <f aca="false">(E46*E47)/1000</f>
        <v>145.39</v>
      </c>
    </row>
    <row r="49" customFormat="false" ht="15" hidden="false" customHeight="false" outlineLevel="0" collapsed="false">
      <c r="B49" s="91"/>
      <c r="E49" s="93"/>
    </row>
    <row r="50" customFormat="false" ht="15" hidden="false" customHeight="false" outlineLevel="0" collapsed="false">
      <c r="B50" s="91" t="s">
        <v>84</v>
      </c>
      <c r="C50" s="0" t="s">
        <v>85</v>
      </c>
      <c r="D50" s="0" t="s">
        <v>40</v>
      </c>
      <c r="E50" s="98" t="n">
        <f aca="false">E48*E12</f>
        <v>209351.42</v>
      </c>
    </row>
    <row r="51" customFormat="false" ht="15" hidden="false" customHeight="false" outlineLevel="0" collapsed="false">
      <c r="B51" s="91" t="s">
        <v>86</v>
      </c>
      <c r="C51" s="0" t="s">
        <v>51</v>
      </c>
      <c r="D51" s="0" t="s">
        <v>40</v>
      </c>
      <c r="E51" s="93" t="n">
        <f aca="false">K20*12</f>
        <v>66200.44</v>
      </c>
    </row>
    <row r="52" customFormat="false" ht="15" hidden="false" customHeight="false" outlineLevel="0" collapsed="false">
      <c r="B52" s="91"/>
      <c r="E52" s="93"/>
    </row>
    <row r="53" customFormat="false" ht="15" hidden="false" customHeight="false" outlineLevel="0" collapsed="false">
      <c r="B53" s="91" t="s">
        <v>87</v>
      </c>
      <c r="C53" s="0" t="s">
        <v>88</v>
      </c>
      <c r="D53" s="0" t="s">
        <v>89</v>
      </c>
      <c r="E53" s="100" t="n">
        <f aca="false">E51/E50</f>
        <v>0.32</v>
      </c>
    </row>
    <row r="54" customFormat="false" ht="15" hidden="false" customHeight="false" outlineLevel="0" collapsed="false">
      <c r="B54" s="91"/>
      <c r="E54" s="93"/>
    </row>
    <row r="55" customFormat="false" ht="15" hidden="false" customHeight="false" outlineLevel="0" collapsed="false">
      <c r="B55" s="91" t="s">
        <v>73</v>
      </c>
      <c r="D55" s="0" t="s">
        <v>74</v>
      </c>
      <c r="E55" s="93" t="n">
        <f aca="false">E24</f>
        <v>839</v>
      </c>
    </row>
    <row r="56" customFormat="false" ht="15" hidden="false" customHeight="false" outlineLevel="0" collapsed="false">
      <c r="B56" s="94" t="s">
        <v>75</v>
      </c>
      <c r="C56" s="95"/>
      <c r="D56" s="95" t="s">
        <v>74</v>
      </c>
      <c r="E56" s="101" t="n">
        <f aca="false">E55*E46</f>
        <v>364126</v>
      </c>
    </row>
    <row r="57" customFormat="false" ht="15" hidden="false" customHeight="false" outlineLevel="0" collapsed="false">
      <c r="E57" s="18"/>
    </row>
    <row r="58" customFormat="false" ht="15" hidden="false" customHeight="false" outlineLevel="0" collapsed="false">
      <c r="E58" s="18"/>
    </row>
    <row r="59" customFormat="false" ht="15" hidden="false" customHeight="false" outlineLevel="0" collapsed="false">
      <c r="B59" s="90" t="s">
        <v>76</v>
      </c>
      <c r="C59" s="90"/>
      <c r="D59" s="90"/>
      <c r="E59" s="90"/>
    </row>
    <row r="60" customFormat="false" ht="15" hidden="false" customHeight="false" outlineLevel="0" collapsed="false">
      <c r="B60" s="91" t="s">
        <v>70</v>
      </c>
      <c r="D60" s="0" t="s">
        <v>47</v>
      </c>
      <c r="E60" s="93" t="n">
        <f aca="false">E31</f>
        <v>2.03</v>
      </c>
    </row>
    <row r="61" customFormat="false" ht="15" hidden="false" customHeight="false" outlineLevel="0" collapsed="false">
      <c r="B61" s="91" t="s">
        <v>67</v>
      </c>
      <c r="C61" s="0" t="s">
        <v>80</v>
      </c>
      <c r="D61" s="0" t="s">
        <v>69</v>
      </c>
      <c r="E61" s="98" t="n">
        <f aca="false">E41/E60</f>
        <v>423.35</v>
      </c>
    </row>
    <row r="62" customFormat="false" ht="15" hidden="false" customHeight="false" outlineLevel="0" collapsed="false">
      <c r="B62" s="91" t="s">
        <v>81</v>
      </c>
      <c r="D62" s="0" t="s">
        <v>69</v>
      </c>
      <c r="E62" s="98" t="n">
        <v>423</v>
      </c>
    </row>
    <row r="63" customFormat="false" ht="15" hidden="false" customHeight="false" outlineLevel="0" collapsed="false">
      <c r="B63" s="91" t="s">
        <v>65</v>
      </c>
      <c r="D63" s="0" t="s">
        <v>66</v>
      </c>
      <c r="E63" s="93" t="n">
        <v>400</v>
      </c>
    </row>
    <row r="64" customFormat="false" ht="15" hidden="false" customHeight="false" outlineLevel="0" collapsed="false">
      <c r="B64" s="91" t="s">
        <v>82</v>
      </c>
      <c r="C64" s="0" t="s">
        <v>83</v>
      </c>
      <c r="D64" s="0" t="s">
        <v>63</v>
      </c>
      <c r="E64" s="98" t="n">
        <f aca="false">(E62*E63)/1000</f>
        <v>169.2</v>
      </c>
    </row>
    <row r="65" customFormat="false" ht="15" hidden="false" customHeight="false" outlineLevel="0" collapsed="false">
      <c r="B65" s="91"/>
      <c r="E65" s="93"/>
    </row>
    <row r="66" customFormat="false" ht="15" hidden="false" customHeight="false" outlineLevel="0" collapsed="false">
      <c r="B66" s="91" t="s">
        <v>84</v>
      </c>
      <c r="C66" s="0" t="s">
        <v>85</v>
      </c>
      <c r="D66" s="0" t="s">
        <v>40</v>
      </c>
      <c r="E66" s="98" t="n">
        <f aca="false">E64*E12</f>
        <v>243636.16</v>
      </c>
    </row>
    <row r="67" customFormat="false" ht="15" hidden="false" customHeight="false" outlineLevel="0" collapsed="false">
      <c r="B67" s="91" t="s">
        <v>86</v>
      </c>
      <c r="C67" s="0" t="s">
        <v>51</v>
      </c>
      <c r="D67" s="0" t="s">
        <v>40</v>
      </c>
      <c r="E67" s="93" t="n">
        <f aca="false">K20*12</f>
        <v>66200.44</v>
      </c>
    </row>
    <row r="68" customFormat="false" ht="15" hidden="false" customHeight="false" outlineLevel="0" collapsed="false">
      <c r="B68" s="91"/>
      <c r="E68" s="93"/>
    </row>
    <row r="69" customFormat="false" ht="15" hidden="false" customHeight="false" outlineLevel="0" collapsed="false">
      <c r="B69" s="91" t="s">
        <v>87</v>
      </c>
      <c r="C69" s="0" t="s">
        <v>88</v>
      </c>
      <c r="D69" s="0" t="s">
        <v>89</v>
      </c>
      <c r="E69" s="100" t="n">
        <f aca="false">E67/E66</f>
        <v>0.27</v>
      </c>
    </row>
    <row r="70" customFormat="false" ht="15" hidden="false" customHeight="false" outlineLevel="0" collapsed="false">
      <c r="B70" s="91"/>
      <c r="E70" s="93"/>
    </row>
    <row r="71" customFormat="false" ht="15" hidden="false" customHeight="false" outlineLevel="0" collapsed="false">
      <c r="B71" s="91" t="s">
        <v>73</v>
      </c>
      <c r="D71" s="0" t="s">
        <v>74</v>
      </c>
      <c r="E71" s="93" t="n">
        <f aca="false">E33</f>
        <v>1129</v>
      </c>
    </row>
    <row r="72" customFormat="false" ht="15" hidden="false" customHeight="false" outlineLevel="0" collapsed="false">
      <c r="B72" s="94" t="s">
        <v>75</v>
      </c>
      <c r="C72" s="95"/>
      <c r="D72" s="95" t="s">
        <v>74</v>
      </c>
      <c r="E72" s="101" t="n">
        <f aca="false">E71*E62</f>
        <v>477567</v>
      </c>
    </row>
    <row r="73" customFormat="false" ht="15" hidden="false" customHeight="false" outlineLevel="0" collapsed="false">
      <c r="E73" s="18"/>
    </row>
    <row r="75" customFormat="false" ht="15" hidden="false" customHeight="false" outlineLevel="0" collapsed="false">
      <c r="B75" s="102" t="s">
        <v>90</v>
      </c>
      <c r="C75" s="102"/>
      <c r="D75" s="102"/>
      <c r="E75" s="102"/>
    </row>
    <row r="77" customFormat="false" ht="15" hidden="false" customHeight="false" outlineLevel="0" collapsed="false">
      <c r="B77" s="0" t="s">
        <v>91</v>
      </c>
      <c r="D77" s="0" t="s">
        <v>63</v>
      </c>
      <c r="E77" s="103" t="n">
        <v>30</v>
      </c>
    </row>
    <row r="78" customFormat="false" ht="15" hidden="false" customHeight="false" outlineLevel="0" collapsed="false">
      <c r="D78" s="0" t="s">
        <v>92</v>
      </c>
      <c r="E78" s="93" t="n">
        <v>21339</v>
      </c>
    </row>
    <row r="80" customFormat="false" ht="15" hidden="false" customHeight="false" outlineLevel="0" collapsed="false">
      <c r="B80" s="102" t="s">
        <v>93</v>
      </c>
      <c r="C80" s="102"/>
      <c r="D80" s="102"/>
      <c r="E80" s="102"/>
    </row>
    <row r="82" customFormat="false" ht="15" hidden="false" customHeight="false" outlineLevel="0" collapsed="false">
      <c r="B82" s="0" t="s">
        <v>91</v>
      </c>
      <c r="D82" s="0" t="s">
        <v>63</v>
      </c>
      <c r="E82" s="103" t="n">
        <v>22.5</v>
      </c>
    </row>
    <row r="83" customFormat="false" ht="15" hidden="false" customHeight="false" outlineLevel="0" collapsed="false">
      <c r="D83" s="0" t="s">
        <v>92</v>
      </c>
      <c r="E83" s="93" t="n">
        <v>20989</v>
      </c>
    </row>
    <row r="85" customFormat="false" ht="15" hidden="false" customHeight="false" outlineLevel="0" collapsed="false">
      <c r="B85" s="102" t="s">
        <v>94</v>
      </c>
      <c r="C85" s="102"/>
      <c r="D85" s="102"/>
      <c r="E85" s="102"/>
    </row>
    <row r="87" customFormat="false" ht="15" hidden="false" customHeight="false" outlineLevel="0" collapsed="false">
      <c r="B87" s="0" t="s">
        <v>91</v>
      </c>
      <c r="D87" s="0" t="s">
        <v>63</v>
      </c>
      <c r="E87" s="103" t="n">
        <v>45</v>
      </c>
    </row>
    <row r="88" customFormat="false" ht="15" hidden="false" customHeight="false" outlineLevel="0" collapsed="false">
      <c r="D88" s="0" t="s">
        <v>92</v>
      </c>
      <c r="E88" s="93" t="n">
        <v>29229</v>
      </c>
    </row>
    <row r="90" customFormat="false" ht="15" hidden="false" customHeight="false" outlineLevel="0" collapsed="false">
      <c r="B90" s="88" t="s">
        <v>95</v>
      </c>
      <c r="C90" s="88"/>
      <c r="D90" s="88"/>
      <c r="E90" s="88"/>
    </row>
    <row r="91" customFormat="false" ht="15" hidden="false" customHeight="false" outlineLevel="0" collapsed="false">
      <c r="C91" s="2" t="s">
        <v>96</v>
      </c>
    </row>
    <row r="92" customFormat="false" ht="15" hidden="false" customHeight="false" outlineLevel="0" collapsed="false">
      <c r="B92" s="0" t="s">
        <v>97</v>
      </c>
      <c r="C92" s="2" t="n">
        <v>6</v>
      </c>
      <c r="D92" s="0" t="s">
        <v>63</v>
      </c>
      <c r="E92" s="89" t="n">
        <f aca="false">C92*E82</f>
        <v>135</v>
      </c>
    </row>
    <row r="93" customFormat="false" ht="15" hidden="false" customHeight="false" outlineLevel="0" collapsed="false">
      <c r="E93" s="18"/>
    </row>
    <row r="94" customFormat="false" ht="15" hidden="false" customHeight="false" outlineLevel="0" collapsed="false">
      <c r="B94" s="90" t="s">
        <v>64</v>
      </c>
      <c r="C94" s="90"/>
      <c r="D94" s="90"/>
      <c r="E94" s="90"/>
    </row>
    <row r="95" customFormat="false" ht="15" hidden="false" customHeight="false" outlineLevel="0" collapsed="false">
      <c r="B95" s="91" t="s">
        <v>65</v>
      </c>
      <c r="D95" s="0" t="s">
        <v>66</v>
      </c>
      <c r="E95" s="93" t="n">
        <v>335</v>
      </c>
    </row>
    <row r="96" customFormat="false" ht="15" hidden="false" customHeight="false" outlineLevel="0" collapsed="false">
      <c r="B96" s="91" t="s">
        <v>67</v>
      </c>
      <c r="C96" s="0" t="s">
        <v>98</v>
      </c>
      <c r="D96" s="0" t="s">
        <v>69</v>
      </c>
      <c r="E96" s="98" t="n">
        <f aca="false">(E92/E95)*1000</f>
        <v>402.99</v>
      </c>
    </row>
    <row r="97" customFormat="false" ht="15" hidden="false" customHeight="false" outlineLevel="0" collapsed="false">
      <c r="B97" s="91" t="s">
        <v>81</v>
      </c>
      <c r="D97" s="0" t="s">
        <v>69</v>
      </c>
      <c r="E97" s="98" t="n">
        <v>402</v>
      </c>
    </row>
    <row r="98" customFormat="false" ht="15" hidden="false" customHeight="false" outlineLevel="0" collapsed="false">
      <c r="B98" s="91" t="s">
        <v>70</v>
      </c>
      <c r="D98" s="0" t="s">
        <v>47</v>
      </c>
      <c r="E98" s="93" t="n">
        <v>1.98</v>
      </c>
    </row>
    <row r="99" customFormat="false" ht="15" hidden="false" customHeight="false" outlineLevel="0" collapsed="false">
      <c r="B99" s="91" t="s">
        <v>99</v>
      </c>
      <c r="C99" s="0" t="s">
        <v>72</v>
      </c>
      <c r="D99" s="0" t="s">
        <v>47</v>
      </c>
      <c r="E99" s="98" t="n">
        <f aca="false">E98*E97</f>
        <v>795.96</v>
      </c>
    </row>
    <row r="100" customFormat="false" ht="15" hidden="false" customHeight="false" outlineLevel="0" collapsed="false">
      <c r="B100" s="91" t="s">
        <v>99</v>
      </c>
      <c r="D100" s="41" t="s">
        <v>89</v>
      </c>
      <c r="E100" s="100" t="n">
        <f aca="false">E99/E7</f>
        <v>0.74</v>
      </c>
    </row>
    <row r="101" customFormat="false" ht="15" hidden="false" customHeight="false" outlineLevel="0" collapsed="false">
      <c r="B101" s="91"/>
      <c r="D101" s="41"/>
      <c r="E101" s="100"/>
    </row>
    <row r="102" customFormat="false" ht="15" hidden="false" customHeight="false" outlineLevel="0" collapsed="false">
      <c r="B102" s="91" t="s">
        <v>82</v>
      </c>
      <c r="C102" s="0" t="s">
        <v>83</v>
      </c>
      <c r="D102" s="0" t="s">
        <v>63</v>
      </c>
      <c r="E102" s="93" t="n">
        <f aca="false">E97*E95/1000</f>
        <v>134.67</v>
      </c>
    </row>
    <row r="103" customFormat="false" ht="15" hidden="false" customHeight="false" outlineLevel="0" collapsed="false">
      <c r="B103" s="91" t="s">
        <v>84</v>
      </c>
      <c r="C103" s="0" t="s">
        <v>85</v>
      </c>
      <c r="D103" s="0" t="s">
        <v>40</v>
      </c>
      <c r="E103" s="98" t="n">
        <f aca="false">E97*E95*E12/1000</f>
        <v>193915.37</v>
      </c>
    </row>
    <row r="104" customFormat="false" ht="15" hidden="false" customHeight="false" outlineLevel="0" collapsed="false">
      <c r="B104" s="91" t="s">
        <v>86</v>
      </c>
      <c r="C104" s="0" t="s">
        <v>51</v>
      </c>
      <c r="D104" s="0" t="s">
        <v>40</v>
      </c>
      <c r="E104" s="93" t="n">
        <f aca="false">K20*12</f>
        <v>66200.44</v>
      </c>
    </row>
    <row r="105" customFormat="false" ht="15" hidden="false" customHeight="false" outlineLevel="0" collapsed="false">
      <c r="B105" s="91"/>
      <c r="E105" s="93"/>
    </row>
    <row r="106" customFormat="false" ht="15" hidden="false" customHeight="false" outlineLevel="0" collapsed="false">
      <c r="B106" s="91" t="s">
        <v>87</v>
      </c>
      <c r="C106" s="0" t="s">
        <v>88</v>
      </c>
      <c r="D106" s="0" t="s">
        <v>89</v>
      </c>
      <c r="E106" s="104" t="n">
        <f aca="false">E104/E103</f>
        <v>0.3414</v>
      </c>
    </row>
    <row r="107" customFormat="false" ht="15" hidden="false" customHeight="false" outlineLevel="0" collapsed="false">
      <c r="B107" s="91"/>
      <c r="E107" s="93"/>
    </row>
    <row r="108" customFormat="false" ht="15" hidden="false" customHeight="false" outlineLevel="0" collapsed="false">
      <c r="B108" s="91" t="s">
        <v>73</v>
      </c>
      <c r="D108" s="0" t="s">
        <v>74</v>
      </c>
      <c r="E108" s="93" t="n">
        <v>839</v>
      </c>
    </row>
    <row r="109" customFormat="false" ht="15" hidden="false" customHeight="false" outlineLevel="0" collapsed="false">
      <c r="B109" s="91" t="s">
        <v>75</v>
      </c>
      <c r="D109" s="0" t="s">
        <v>74</v>
      </c>
      <c r="E109" s="98" t="n">
        <f aca="false">E108*E97</f>
        <v>337278</v>
      </c>
    </row>
    <row r="110" customFormat="false" ht="15" hidden="false" customHeight="false" outlineLevel="0" collapsed="false">
      <c r="B110" s="91" t="s">
        <v>101</v>
      </c>
      <c r="D110" s="0" t="s">
        <v>74</v>
      </c>
      <c r="E110" s="98" t="n">
        <f aca="false">C92*E83</f>
        <v>125934</v>
      </c>
    </row>
    <row r="111" customFormat="false" ht="15" hidden="false" customHeight="false" outlineLevel="0" collapsed="false">
      <c r="B111" s="94" t="s">
        <v>102</v>
      </c>
      <c r="C111" s="95"/>
      <c r="D111" s="95" t="s">
        <v>74</v>
      </c>
      <c r="E111" s="101" t="n">
        <f aca="false">SUM(E109:E110)</f>
        <v>463212</v>
      </c>
    </row>
    <row r="112" customFormat="false" ht="15" hidden="false" customHeight="false" outlineLevel="0" collapsed="false">
      <c r="E112" s="18"/>
    </row>
    <row r="113" customFormat="false" ht="15" hidden="false" customHeight="false" outlineLevel="0" collapsed="false">
      <c r="E113" s="18"/>
    </row>
    <row r="114" customFormat="false" ht="15" hidden="false" customHeight="false" outlineLevel="0" collapsed="false">
      <c r="B114" s="90" t="s">
        <v>76</v>
      </c>
      <c r="C114" s="90"/>
      <c r="D114" s="90"/>
      <c r="E114" s="90"/>
    </row>
    <row r="115" customFormat="false" ht="15" hidden="false" customHeight="false" outlineLevel="0" collapsed="false">
      <c r="B115" s="91" t="s">
        <v>65</v>
      </c>
      <c r="D115" s="0" t="s">
        <v>66</v>
      </c>
      <c r="E115" s="93" t="n">
        <v>400</v>
      </c>
    </row>
    <row r="116" customFormat="false" ht="15" hidden="false" customHeight="false" outlineLevel="0" collapsed="false">
      <c r="B116" s="91" t="s">
        <v>67</v>
      </c>
      <c r="C116" s="0" t="s">
        <v>103</v>
      </c>
      <c r="D116" s="0" t="s">
        <v>69</v>
      </c>
      <c r="E116" s="98" t="n">
        <f aca="false">(E92/E115)*1000</f>
        <v>337.5</v>
      </c>
    </row>
    <row r="117" customFormat="false" ht="15" hidden="false" customHeight="false" outlineLevel="0" collapsed="false">
      <c r="B117" s="91" t="s">
        <v>81</v>
      </c>
      <c r="D117" s="0" t="s">
        <v>69</v>
      </c>
      <c r="E117" s="98" t="n">
        <v>337</v>
      </c>
    </row>
    <row r="118" customFormat="false" ht="15" hidden="false" customHeight="false" outlineLevel="0" collapsed="false">
      <c r="B118" s="91" t="s">
        <v>70</v>
      </c>
      <c r="D118" s="0" t="s">
        <v>47</v>
      </c>
      <c r="E118" s="93" t="n">
        <f aca="false">E60</f>
        <v>2.03</v>
      </c>
    </row>
    <row r="119" customFormat="false" ht="15" hidden="false" customHeight="false" outlineLevel="0" collapsed="false">
      <c r="B119" s="91" t="s">
        <v>99</v>
      </c>
      <c r="C119" s="0" t="s">
        <v>72</v>
      </c>
      <c r="D119" s="0" t="s">
        <v>47</v>
      </c>
      <c r="E119" s="98" t="n">
        <f aca="false">E117*E118</f>
        <v>684.11</v>
      </c>
    </row>
    <row r="120" customFormat="false" ht="15" hidden="false" customHeight="false" outlineLevel="0" collapsed="false">
      <c r="B120" s="91" t="s">
        <v>99</v>
      </c>
      <c r="D120" s="41" t="s">
        <v>89</v>
      </c>
      <c r="E120" s="100" t="n">
        <f aca="false">E119/E7</f>
        <v>0.64</v>
      </c>
    </row>
    <row r="121" customFormat="false" ht="15" hidden="false" customHeight="false" outlineLevel="0" collapsed="false">
      <c r="B121" s="91"/>
      <c r="D121" s="41"/>
      <c r="E121" s="100"/>
    </row>
    <row r="122" customFormat="false" ht="15" hidden="false" customHeight="false" outlineLevel="0" collapsed="false">
      <c r="B122" s="91" t="s">
        <v>82</v>
      </c>
      <c r="C122" s="0" t="s">
        <v>83</v>
      </c>
      <c r="D122" s="0" t="s">
        <v>63</v>
      </c>
      <c r="E122" s="93" t="n">
        <f aca="false">E117*E115/1000</f>
        <v>134.8</v>
      </c>
    </row>
    <row r="123" customFormat="false" ht="15" hidden="false" customHeight="false" outlineLevel="0" collapsed="false">
      <c r="B123" s="91" t="s">
        <v>84</v>
      </c>
      <c r="C123" s="0" t="s">
        <v>85</v>
      </c>
      <c r="D123" s="0" t="s">
        <v>40</v>
      </c>
      <c r="E123" s="98" t="n">
        <f aca="false">E117*E115*E12/1000</f>
        <v>194102.56</v>
      </c>
    </row>
    <row r="124" customFormat="false" ht="15" hidden="false" customHeight="false" outlineLevel="0" collapsed="false">
      <c r="B124" s="91" t="s">
        <v>86</v>
      </c>
      <c r="C124" s="0" t="s">
        <v>51</v>
      </c>
      <c r="D124" s="0" t="s">
        <v>40</v>
      </c>
      <c r="E124" s="93" t="n">
        <f aca="false">K20*12</f>
        <v>66200.44</v>
      </c>
    </row>
    <row r="125" customFormat="false" ht="15" hidden="false" customHeight="false" outlineLevel="0" collapsed="false">
      <c r="B125" s="91"/>
      <c r="E125" s="93"/>
    </row>
    <row r="126" customFormat="false" ht="15" hidden="false" customHeight="false" outlineLevel="0" collapsed="false">
      <c r="B126" s="91" t="s">
        <v>87</v>
      </c>
      <c r="C126" s="0" t="s">
        <v>88</v>
      </c>
      <c r="D126" s="0" t="s">
        <v>89</v>
      </c>
      <c r="E126" s="104" t="n">
        <f aca="false">E124/E123</f>
        <v>0.3411</v>
      </c>
    </row>
    <row r="127" customFormat="false" ht="15" hidden="false" customHeight="false" outlineLevel="0" collapsed="false">
      <c r="B127" s="91"/>
      <c r="E127" s="93"/>
    </row>
    <row r="128" customFormat="false" ht="15" hidden="false" customHeight="false" outlineLevel="0" collapsed="false">
      <c r="B128" s="91" t="s">
        <v>73</v>
      </c>
      <c r="D128" s="0" t="s">
        <v>74</v>
      </c>
      <c r="E128" s="93" t="n">
        <v>1129</v>
      </c>
    </row>
    <row r="129" customFormat="false" ht="15" hidden="false" customHeight="false" outlineLevel="0" collapsed="false">
      <c r="B129" s="91" t="s">
        <v>75</v>
      </c>
      <c r="D129" s="0" t="s">
        <v>74</v>
      </c>
      <c r="E129" s="98" t="n">
        <f aca="false">E128*E117</f>
        <v>380473</v>
      </c>
    </row>
    <row r="130" customFormat="false" ht="15" hidden="false" customHeight="false" outlineLevel="0" collapsed="false">
      <c r="B130" s="91" t="s">
        <v>101</v>
      </c>
      <c r="D130" s="0" t="s">
        <v>74</v>
      </c>
      <c r="E130" s="98" t="n">
        <f aca="false">C92*E83</f>
        <v>125934</v>
      </c>
    </row>
    <row r="131" customFormat="false" ht="15" hidden="false" customHeight="false" outlineLevel="0" collapsed="false">
      <c r="B131" s="94" t="s">
        <v>102</v>
      </c>
      <c r="C131" s="95"/>
      <c r="D131" s="95" t="s">
        <v>74</v>
      </c>
      <c r="E131" s="101" t="n">
        <f aca="false">SUM(E129:E130)</f>
        <v>506407</v>
      </c>
    </row>
  </sheetData>
  <mergeCells count="13">
    <mergeCell ref="B5:E5"/>
    <mergeCell ref="B15:E15"/>
    <mergeCell ref="B19:E19"/>
    <mergeCell ref="B28:E28"/>
    <mergeCell ref="B39:E39"/>
    <mergeCell ref="B43:E43"/>
    <mergeCell ref="B59:E59"/>
    <mergeCell ref="B75:E75"/>
    <mergeCell ref="B80:E80"/>
    <mergeCell ref="B85:E85"/>
    <mergeCell ref="B90:E90"/>
    <mergeCell ref="B94:E94"/>
    <mergeCell ref="B114:E114"/>
  </mergeCells>
  <hyperlinks>
    <hyperlink ref="F10" r:id="rId1" display="entrar com coordenadas em :http://www.cresesb.cepel.br/index.php?section=sundata"/>
  </hyperlinks>
  <printOptions headings="false" gridLines="false" gridLinesSet="true" horizontalCentered="false" verticalCentered="false"/>
  <pageMargins left="0.511805555555555" right="0.511805555555555" top="1.18125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K1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8" activeCellId="0" sqref="K8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34"/>
    <col collapsed="false" customWidth="true" hidden="false" outlineLevel="0" max="3" min="3" style="0" width="48.86"/>
    <col collapsed="false" customWidth="true" hidden="false" outlineLevel="0" max="4" min="4" style="0" width="12.42"/>
    <col collapsed="false" customWidth="true" hidden="false" outlineLevel="0" max="5" min="5" style="0" width="23.01"/>
    <col collapsed="false" customWidth="true" hidden="false" outlineLevel="0" max="10" min="6" style="0" width="9"/>
    <col collapsed="false" customWidth="true" hidden="false" outlineLevel="0" max="11" min="11" style="0" width="12.42"/>
    <col collapsed="false" customWidth="true" hidden="false" outlineLevel="0" max="64" min="12" style="0" width="9"/>
  </cols>
  <sheetData>
    <row r="5" customFormat="false" ht="15" hidden="false" customHeight="false" outlineLevel="0" collapsed="false">
      <c r="B5" s="83" t="s">
        <v>110</v>
      </c>
      <c r="C5" s="83"/>
      <c r="D5" s="83"/>
      <c r="E5" s="83"/>
    </row>
    <row r="6" customFormat="false" ht="30" hidden="false" customHeight="false" outlineLevel="0" collapsed="false">
      <c r="B6" s="0" t="s">
        <v>45</v>
      </c>
      <c r="C6" s="2" t="s">
        <v>24</v>
      </c>
      <c r="K6" s="84" t="str">
        <f aca="false">B5</f>
        <v>CALDAS_NOVAS</v>
      </c>
    </row>
    <row r="7" customFormat="false" ht="15" hidden="false" customHeight="false" outlineLevel="0" collapsed="false">
      <c r="B7" s="0" t="s">
        <v>46</v>
      </c>
      <c r="D7" s="0" t="s">
        <v>47</v>
      </c>
      <c r="E7" s="89" t="n">
        <v>345.14</v>
      </c>
      <c r="J7" s="78" t="n">
        <v>43466</v>
      </c>
      <c r="K7" s="106" t="n">
        <v>2206</v>
      </c>
    </row>
    <row r="8" customFormat="false" ht="15" hidden="false" customHeight="false" outlineLevel="0" collapsed="false">
      <c r="B8" s="0" t="s">
        <v>48</v>
      </c>
      <c r="E8" s="108" t="s">
        <v>111</v>
      </c>
      <c r="J8" s="78" t="n">
        <v>43497</v>
      </c>
      <c r="K8" s="106" t="n">
        <v>3330</v>
      </c>
    </row>
    <row r="9" customFormat="false" ht="15" hidden="false" customHeight="false" outlineLevel="0" collapsed="false">
      <c r="B9" s="0" t="s">
        <v>50</v>
      </c>
      <c r="C9" s="0" t="s">
        <v>112</v>
      </c>
      <c r="D9" s="0" t="s">
        <v>40</v>
      </c>
      <c r="E9" s="18" t="n">
        <f aca="false">K20*12</f>
        <v>32825.16</v>
      </c>
      <c r="J9" s="78" t="n">
        <v>43525</v>
      </c>
      <c r="K9" s="106" t="n">
        <v>2813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5.26</v>
      </c>
      <c r="J10" s="78" t="n">
        <v>43556</v>
      </c>
      <c r="K10" s="106" t="n">
        <v>2835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0.75</v>
      </c>
      <c r="J11" s="78" t="n">
        <v>43586</v>
      </c>
      <c r="K11" s="106" t="n">
        <v>2857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1439.93</v>
      </c>
      <c r="J12" s="78" t="n">
        <v>43617</v>
      </c>
      <c r="K12" s="106" t="n">
        <v>1933</v>
      </c>
    </row>
    <row r="13" customFormat="false" ht="15" hidden="false" customHeight="false" outlineLevel="0" collapsed="false">
      <c r="J13" s="78" t="n">
        <v>43647</v>
      </c>
      <c r="K13" s="106" t="n">
        <v>2617.66</v>
      </c>
    </row>
    <row r="14" customFormat="false" ht="15" hidden="false" customHeight="false" outlineLevel="0" collapsed="false">
      <c r="J14" s="78" t="n">
        <v>43678</v>
      </c>
      <c r="K14" s="106" t="n">
        <v>971.34</v>
      </c>
    </row>
    <row r="15" customFormat="false" ht="15" hidden="false" customHeight="false" outlineLevel="0" collapsed="false">
      <c r="B15" s="88" t="s">
        <v>60</v>
      </c>
      <c r="C15" s="88"/>
      <c r="D15" s="88"/>
      <c r="E15" s="88"/>
      <c r="J15" s="78" t="n">
        <v>43709</v>
      </c>
      <c r="K15" s="106" t="n">
        <v>3490</v>
      </c>
    </row>
    <row r="16" customFormat="false" ht="15" hidden="false" customHeight="false" outlineLevel="0" collapsed="false">
      <c r="J16" s="78" t="n">
        <v>43739</v>
      </c>
      <c r="K16" s="106" t="n">
        <v>3551</v>
      </c>
    </row>
    <row r="17" customFormat="false" ht="15" hidden="false" customHeight="false" outlineLevel="0" collapsed="false">
      <c r="B17" s="0" t="s">
        <v>61</v>
      </c>
      <c r="C17" s="0" t="s">
        <v>62</v>
      </c>
      <c r="D17" s="0" t="s">
        <v>63</v>
      </c>
      <c r="E17" s="89" t="n">
        <f aca="false">E9/E12</f>
        <v>22.8</v>
      </c>
      <c r="J17" s="78" t="n">
        <v>43770</v>
      </c>
      <c r="K17" s="106" t="n">
        <v>3478</v>
      </c>
    </row>
    <row r="18" customFormat="false" ht="15" hidden="false" customHeight="false" outlineLevel="0" collapsed="false">
      <c r="J18" s="78" t="n">
        <v>43800</v>
      </c>
      <c r="K18" s="106" t="n">
        <v>2743.16</v>
      </c>
    </row>
    <row r="19" customFormat="false" ht="15" hidden="false" customHeight="false" outlineLevel="0" collapsed="false">
      <c r="B19" s="90" t="s">
        <v>64</v>
      </c>
      <c r="C19" s="90"/>
      <c r="D19" s="90"/>
      <c r="E19" s="90"/>
    </row>
    <row r="20" customFormat="false" ht="15" hidden="false" customHeight="false" outlineLevel="0" collapsed="false">
      <c r="B20" s="91" t="s">
        <v>65</v>
      </c>
      <c r="D20" s="0" t="s">
        <v>66</v>
      </c>
      <c r="E20" s="97" t="n">
        <v>335</v>
      </c>
      <c r="J20" s="0" t="s">
        <v>39</v>
      </c>
      <c r="K20" s="0" t="n">
        <f aca="false">(SUM(K7:K18))/12</f>
        <v>2735.43</v>
      </c>
    </row>
    <row r="21" customFormat="false" ht="15" hidden="false" customHeight="false" outlineLevel="0" collapsed="false">
      <c r="B21" s="91" t="s">
        <v>67</v>
      </c>
      <c r="C21" s="0" t="s">
        <v>68</v>
      </c>
      <c r="D21" s="0" t="s">
        <v>69</v>
      </c>
      <c r="E21" s="93" t="n">
        <f aca="false">(E17*1000/E20)</f>
        <v>68.06</v>
      </c>
    </row>
    <row r="22" customFormat="false" ht="15" hidden="false" customHeight="false" outlineLevel="0" collapsed="false">
      <c r="B22" s="91" t="s">
        <v>70</v>
      </c>
      <c r="D22" s="0" t="s">
        <v>47</v>
      </c>
      <c r="E22" s="93" t="n">
        <v>1.98</v>
      </c>
    </row>
    <row r="23" customFormat="false" ht="15" hidden="false" customHeight="false" outlineLevel="0" collapsed="false">
      <c r="B23" s="91" t="s">
        <v>71</v>
      </c>
      <c r="C23" s="0" t="s">
        <v>72</v>
      </c>
      <c r="D23" s="0" t="s">
        <v>47</v>
      </c>
      <c r="E23" s="93" t="n">
        <f aca="false">E21*E22</f>
        <v>134.76</v>
      </c>
    </row>
    <row r="24" customFormat="false" ht="15" hidden="false" customHeight="false" outlineLevel="0" collapsed="false">
      <c r="B24" s="91" t="s">
        <v>73</v>
      </c>
      <c r="D24" s="0" t="s">
        <v>74</v>
      </c>
      <c r="E24" s="93" t="n">
        <v>839</v>
      </c>
    </row>
    <row r="25" customFormat="false" ht="15" hidden="false" customHeight="false" outlineLevel="0" collapsed="false">
      <c r="B25" s="91"/>
      <c r="E25" s="93"/>
    </row>
    <row r="26" customFormat="false" ht="15" hidden="false" customHeight="false" outlineLevel="0" collapsed="false">
      <c r="B26" s="94" t="s">
        <v>75</v>
      </c>
      <c r="C26" s="95"/>
      <c r="D26" s="95" t="s">
        <v>74</v>
      </c>
      <c r="E26" s="96" t="n">
        <f aca="false">E24*E21</f>
        <v>57102.34</v>
      </c>
    </row>
    <row r="28" customFormat="false" ht="15" hidden="false" customHeight="false" outlineLevel="0" collapsed="false">
      <c r="B28" s="90" t="s">
        <v>76</v>
      </c>
      <c r="C28" s="90"/>
      <c r="D28" s="90"/>
      <c r="E28" s="90"/>
    </row>
    <row r="29" customFormat="false" ht="15" hidden="false" customHeight="false" outlineLevel="0" collapsed="false">
      <c r="B29" s="91" t="s">
        <v>65</v>
      </c>
      <c r="D29" s="0" t="s">
        <v>66</v>
      </c>
      <c r="E29" s="93" t="n">
        <v>400</v>
      </c>
    </row>
    <row r="30" customFormat="false" ht="15" hidden="false" customHeight="false" outlineLevel="0" collapsed="false">
      <c r="B30" s="91" t="s">
        <v>67</v>
      </c>
      <c r="C30" s="0" t="s">
        <v>68</v>
      </c>
      <c r="D30" s="0" t="s">
        <v>69</v>
      </c>
      <c r="E30" s="93" t="n">
        <f aca="false">(E17*1000)/E29</f>
        <v>57</v>
      </c>
    </row>
    <row r="31" customFormat="false" ht="15" hidden="false" customHeight="false" outlineLevel="0" collapsed="false">
      <c r="B31" s="91" t="s">
        <v>70</v>
      </c>
      <c r="D31" s="0" t="s">
        <v>47</v>
      </c>
      <c r="E31" s="93" t="n">
        <v>2.03</v>
      </c>
    </row>
    <row r="32" customFormat="false" ht="15" hidden="false" customHeight="false" outlineLevel="0" collapsed="false">
      <c r="B32" s="91" t="s">
        <v>71</v>
      </c>
      <c r="C32" s="0" t="s">
        <v>72</v>
      </c>
      <c r="D32" s="0" t="s">
        <v>47</v>
      </c>
      <c r="E32" s="93" t="n">
        <f aca="false">E30*E31</f>
        <v>115.71</v>
      </c>
    </row>
    <row r="33" customFormat="false" ht="15" hidden="false" customHeight="false" outlineLevel="0" collapsed="false">
      <c r="B33" s="91" t="s">
        <v>73</v>
      </c>
      <c r="D33" s="0" t="s">
        <v>74</v>
      </c>
      <c r="E33" s="93" t="n">
        <v>1129</v>
      </c>
    </row>
    <row r="34" customFormat="false" ht="15" hidden="false" customHeight="false" outlineLevel="0" collapsed="false">
      <c r="B34" s="91"/>
      <c r="E34" s="97"/>
    </row>
    <row r="35" customFormat="false" ht="15" hidden="false" customHeight="false" outlineLevel="0" collapsed="false">
      <c r="B35" s="94" t="s">
        <v>75</v>
      </c>
      <c r="C35" s="95"/>
      <c r="D35" s="95" t="s">
        <v>74</v>
      </c>
      <c r="E35" s="96" t="n">
        <f aca="false">E33*E30</f>
        <v>64353</v>
      </c>
    </row>
    <row r="36" customFormat="false" ht="15" hidden="false" customHeight="false" outlineLevel="0" collapsed="false">
      <c r="E36" s="18"/>
    </row>
    <row r="39" customFormat="false" ht="15" hidden="false" customHeight="false" outlineLevel="0" collapsed="false">
      <c r="B39" s="88" t="s">
        <v>77</v>
      </c>
      <c r="C39" s="88"/>
      <c r="D39" s="88"/>
      <c r="E39" s="88"/>
    </row>
    <row r="41" customFormat="false" ht="15" hidden="false" customHeight="false" outlineLevel="0" collapsed="false">
      <c r="B41" s="0" t="s">
        <v>78</v>
      </c>
      <c r="C41" s="0" t="s">
        <v>79</v>
      </c>
      <c r="D41" s="0" t="s">
        <v>47</v>
      </c>
      <c r="E41" s="89" t="n">
        <f aca="false">E7*0.8</f>
        <v>276.11</v>
      </c>
    </row>
    <row r="42" customFormat="false" ht="15" hidden="false" customHeight="false" outlineLevel="0" collapsed="false">
      <c r="E42" s="18"/>
    </row>
    <row r="43" customFormat="false" ht="15" hidden="false" customHeight="false" outlineLevel="0" collapsed="false">
      <c r="B43" s="90" t="s">
        <v>64</v>
      </c>
      <c r="C43" s="90"/>
      <c r="D43" s="90"/>
      <c r="E43" s="90"/>
    </row>
    <row r="44" customFormat="false" ht="15" hidden="false" customHeight="false" outlineLevel="0" collapsed="false">
      <c r="B44" s="91" t="s">
        <v>70</v>
      </c>
      <c r="D44" s="0" t="s">
        <v>47</v>
      </c>
      <c r="E44" s="93" t="n">
        <v>1.98</v>
      </c>
    </row>
    <row r="45" customFormat="false" ht="15" hidden="false" customHeight="false" outlineLevel="0" collapsed="false">
      <c r="B45" s="91" t="s">
        <v>67</v>
      </c>
      <c r="C45" s="0" t="s">
        <v>80</v>
      </c>
      <c r="D45" s="0" t="s">
        <v>69</v>
      </c>
      <c r="E45" s="98" t="n">
        <f aca="false">E41/E44</f>
        <v>139.45</v>
      </c>
    </row>
    <row r="46" customFormat="false" ht="15" hidden="false" customHeight="false" outlineLevel="0" collapsed="false">
      <c r="B46" s="91" t="s">
        <v>81</v>
      </c>
      <c r="D46" s="0" t="s">
        <v>69</v>
      </c>
      <c r="E46" s="98" t="n">
        <v>139</v>
      </c>
    </row>
    <row r="47" customFormat="false" ht="15" hidden="false" customHeight="false" outlineLevel="0" collapsed="false">
      <c r="B47" s="91" t="s">
        <v>65</v>
      </c>
      <c r="D47" s="0" t="s">
        <v>66</v>
      </c>
      <c r="E47" s="93" t="n">
        <v>335</v>
      </c>
    </row>
    <row r="48" customFormat="false" ht="15" hidden="false" customHeight="false" outlineLevel="0" collapsed="false">
      <c r="B48" s="91" t="s">
        <v>82</v>
      </c>
      <c r="C48" s="0" t="s">
        <v>83</v>
      </c>
      <c r="D48" s="0" t="s">
        <v>63</v>
      </c>
      <c r="E48" s="98" t="n">
        <f aca="false">(E46*E47)/1000</f>
        <v>46.57</v>
      </c>
    </row>
    <row r="49" customFormat="false" ht="15" hidden="false" customHeight="false" outlineLevel="0" collapsed="false">
      <c r="B49" s="91"/>
      <c r="E49" s="93"/>
    </row>
    <row r="50" customFormat="false" ht="15" hidden="false" customHeight="false" outlineLevel="0" collapsed="false">
      <c r="B50" s="91" t="s">
        <v>84</v>
      </c>
      <c r="C50" s="0" t="s">
        <v>85</v>
      </c>
      <c r="D50" s="0" t="s">
        <v>40</v>
      </c>
      <c r="E50" s="98" t="n">
        <f aca="false">E48*E12</f>
        <v>67057.54</v>
      </c>
    </row>
    <row r="51" customFormat="false" ht="15" hidden="false" customHeight="false" outlineLevel="0" collapsed="false">
      <c r="B51" s="91" t="s">
        <v>86</v>
      </c>
      <c r="C51" s="0" t="s">
        <v>51</v>
      </c>
      <c r="D51" s="0" t="s">
        <v>40</v>
      </c>
      <c r="E51" s="93" t="n">
        <f aca="false">K20*12</f>
        <v>32825.16</v>
      </c>
    </row>
    <row r="52" customFormat="false" ht="15" hidden="false" customHeight="false" outlineLevel="0" collapsed="false">
      <c r="B52" s="91"/>
      <c r="E52" s="93"/>
    </row>
    <row r="53" customFormat="false" ht="15" hidden="false" customHeight="false" outlineLevel="0" collapsed="false">
      <c r="B53" s="91" t="s">
        <v>87</v>
      </c>
      <c r="C53" s="0" t="s">
        <v>88</v>
      </c>
      <c r="D53" s="0" t="s">
        <v>89</v>
      </c>
      <c r="E53" s="100" t="n">
        <f aca="false">E51/E50</f>
        <v>0.49</v>
      </c>
    </row>
    <row r="54" customFormat="false" ht="15" hidden="false" customHeight="false" outlineLevel="0" collapsed="false">
      <c r="B54" s="91"/>
      <c r="E54" s="93"/>
    </row>
    <row r="55" customFormat="false" ht="15" hidden="false" customHeight="false" outlineLevel="0" collapsed="false">
      <c r="B55" s="91" t="s">
        <v>73</v>
      </c>
      <c r="D55" s="0" t="s">
        <v>74</v>
      </c>
      <c r="E55" s="93" t="n">
        <v>839</v>
      </c>
    </row>
    <row r="56" customFormat="false" ht="15" hidden="false" customHeight="false" outlineLevel="0" collapsed="false">
      <c r="B56" s="94" t="s">
        <v>75</v>
      </c>
      <c r="C56" s="95"/>
      <c r="D56" s="95" t="s">
        <v>74</v>
      </c>
      <c r="E56" s="101" t="n">
        <f aca="false">E55*E46</f>
        <v>116621</v>
      </c>
    </row>
    <row r="57" customFormat="false" ht="15" hidden="false" customHeight="false" outlineLevel="0" collapsed="false">
      <c r="E57" s="18"/>
    </row>
    <row r="58" customFormat="false" ht="15" hidden="false" customHeight="false" outlineLevel="0" collapsed="false">
      <c r="E58" s="18"/>
    </row>
    <row r="59" customFormat="false" ht="15" hidden="false" customHeight="false" outlineLevel="0" collapsed="false">
      <c r="B59" s="90" t="s">
        <v>76</v>
      </c>
      <c r="C59" s="90"/>
      <c r="D59" s="90"/>
      <c r="E59" s="90"/>
    </row>
    <row r="60" customFormat="false" ht="15" hidden="false" customHeight="false" outlineLevel="0" collapsed="false">
      <c r="B60" s="91" t="s">
        <v>70</v>
      </c>
      <c r="D60" s="0" t="s">
        <v>47</v>
      </c>
      <c r="E60" s="93" t="n">
        <f aca="false">E31</f>
        <v>2.03</v>
      </c>
    </row>
    <row r="61" customFormat="false" ht="15" hidden="false" customHeight="false" outlineLevel="0" collapsed="false">
      <c r="B61" s="91" t="s">
        <v>67</v>
      </c>
      <c r="C61" s="0" t="s">
        <v>80</v>
      </c>
      <c r="D61" s="0" t="s">
        <v>69</v>
      </c>
      <c r="E61" s="98" t="n">
        <f aca="false">E41/E60</f>
        <v>136.01</v>
      </c>
    </row>
    <row r="62" customFormat="false" ht="15" hidden="false" customHeight="false" outlineLevel="0" collapsed="false">
      <c r="B62" s="91" t="s">
        <v>81</v>
      </c>
      <c r="D62" s="0" t="s">
        <v>69</v>
      </c>
      <c r="E62" s="98" t="n">
        <v>136</v>
      </c>
    </row>
    <row r="63" customFormat="false" ht="15" hidden="false" customHeight="false" outlineLevel="0" collapsed="false">
      <c r="B63" s="91" t="s">
        <v>65</v>
      </c>
      <c r="D63" s="0" t="s">
        <v>66</v>
      </c>
      <c r="E63" s="93" t="n">
        <v>400</v>
      </c>
    </row>
    <row r="64" customFormat="false" ht="15" hidden="false" customHeight="false" outlineLevel="0" collapsed="false">
      <c r="B64" s="91" t="s">
        <v>82</v>
      </c>
      <c r="C64" s="0" t="s">
        <v>83</v>
      </c>
      <c r="D64" s="0" t="s">
        <v>63</v>
      </c>
      <c r="E64" s="98" t="n">
        <f aca="false">(E62*E63)/1000</f>
        <v>54.4</v>
      </c>
    </row>
    <row r="65" customFormat="false" ht="15" hidden="false" customHeight="false" outlineLevel="0" collapsed="false">
      <c r="B65" s="91"/>
      <c r="E65" s="93"/>
    </row>
    <row r="66" customFormat="false" ht="15" hidden="false" customHeight="false" outlineLevel="0" collapsed="false">
      <c r="B66" s="91" t="s">
        <v>84</v>
      </c>
      <c r="C66" s="0" t="s">
        <v>85</v>
      </c>
      <c r="D66" s="0" t="s">
        <v>40</v>
      </c>
      <c r="E66" s="98" t="n">
        <f aca="false">E64*E12</f>
        <v>78332.19</v>
      </c>
    </row>
    <row r="67" customFormat="false" ht="15" hidden="false" customHeight="false" outlineLevel="0" collapsed="false">
      <c r="B67" s="91" t="s">
        <v>86</v>
      </c>
      <c r="C67" s="0" t="s">
        <v>51</v>
      </c>
      <c r="D67" s="0" t="s">
        <v>40</v>
      </c>
      <c r="E67" s="93" t="n">
        <f aca="false">K20*12</f>
        <v>32825.16</v>
      </c>
    </row>
    <row r="68" customFormat="false" ht="15" hidden="false" customHeight="false" outlineLevel="0" collapsed="false">
      <c r="B68" s="91"/>
      <c r="E68" s="93"/>
    </row>
    <row r="69" customFormat="false" ht="15" hidden="false" customHeight="false" outlineLevel="0" collapsed="false">
      <c r="B69" s="91" t="s">
        <v>87</v>
      </c>
      <c r="C69" s="0" t="s">
        <v>88</v>
      </c>
      <c r="D69" s="0" t="s">
        <v>89</v>
      </c>
      <c r="E69" s="100" t="n">
        <f aca="false">E67/E66</f>
        <v>0.42</v>
      </c>
    </row>
    <row r="70" customFormat="false" ht="15" hidden="false" customHeight="false" outlineLevel="0" collapsed="false">
      <c r="B70" s="91"/>
      <c r="E70" s="93"/>
    </row>
    <row r="71" customFormat="false" ht="15" hidden="false" customHeight="false" outlineLevel="0" collapsed="false">
      <c r="B71" s="91" t="s">
        <v>73</v>
      </c>
      <c r="D71" s="0" t="s">
        <v>74</v>
      </c>
      <c r="E71" s="93" t="n">
        <v>1129</v>
      </c>
    </row>
    <row r="72" customFormat="false" ht="15" hidden="false" customHeight="false" outlineLevel="0" collapsed="false">
      <c r="B72" s="94" t="s">
        <v>75</v>
      </c>
      <c r="C72" s="95"/>
      <c r="D72" s="95" t="s">
        <v>74</v>
      </c>
      <c r="E72" s="101" t="n">
        <f aca="false">E71*E62</f>
        <v>153544</v>
      </c>
    </row>
    <row r="73" customFormat="false" ht="15" hidden="false" customHeight="false" outlineLevel="0" collapsed="false">
      <c r="E73" s="18"/>
    </row>
    <row r="75" customFormat="false" ht="15" hidden="false" customHeight="false" outlineLevel="0" collapsed="false">
      <c r="B75" s="102" t="s">
        <v>90</v>
      </c>
      <c r="C75" s="102"/>
      <c r="D75" s="102"/>
      <c r="E75" s="102"/>
    </row>
    <row r="77" customFormat="false" ht="15" hidden="false" customHeight="false" outlineLevel="0" collapsed="false">
      <c r="B77" s="0" t="s">
        <v>91</v>
      </c>
      <c r="D77" s="0" t="s">
        <v>63</v>
      </c>
      <c r="E77" s="103" t="n">
        <v>30</v>
      </c>
    </row>
    <row r="78" customFormat="false" ht="15" hidden="false" customHeight="false" outlineLevel="0" collapsed="false">
      <c r="D78" s="0" t="s">
        <v>92</v>
      </c>
      <c r="E78" s="93" t="n">
        <v>21339</v>
      </c>
    </row>
    <row r="80" customFormat="false" ht="15" hidden="false" customHeight="false" outlineLevel="0" collapsed="false">
      <c r="B80" s="102" t="s">
        <v>93</v>
      </c>
      <c r="C80" s="102"/>
      <c r="D80" s="102"/>
      <c r="E80" s="102"/>
    </row>
    <row r="82" customFormat="false" ht="15" hidden="false" customHeight="false" outlineLevel="0" collapsed="false">
      <c r="B82" s="0" t="s">
        <v>91</v>
      </c>
      <c r="D82" s="0" t="s">
        <v>63</v>
      </c>
      <c r="E82" s="103" t="n">
        <v>22.5</v>
      </c>
    </row>
    <row r="83" customFormat="false" ht="15" hidden="false" customHeight="false" outlineLevel="0" collapsed="false">
      <c r="D83" s="0" t="s">
        <v>92</v>
      </c>
      <c r="E83" s="93" t="n">
        <v>20989</v>
      </c>
    </row>
    <row r="85" customFormat="false" ht="15" hidden="false" customHeight="false" outlineLevel="0" collapsed="false">
      <c r="B85" s="102" t="s">
        <v>94</v>
      </c>
      <c r="C85" s="102"/>
      <c r="D85" s="102"/>
      <c r="E85" s="102"/>
    </row>
    <row r="87" customFormat="false" ht="15" hidden="false" customHeight="false" outlineLevel="0" collapsed="false">
      <c r="B87" s="0" t="s">
        <v>91</v>
      </c>
      <c r="D87" s="0" t="s">
        <v>63</v>
      </c>
      <c r="E87" s="103" t="n">
        <v>45</v>
      </c>
    </row>
    <row r="88" customFormat="false" ht="15" hidden="false" customHeight="false" outlineLevel="0" collapsed="false">
      <c r="D88" s="0" t="s">
        <v>92</v>
      </c>
      <c r="E88" s="93" t="n">
        <v>29229</v>
      </c>
    </row>
    <row r="90" customFormat="false" ht="15" hidden="false" customHeight="false" outlineLevel="0" collapsed="false">
      <c r="B90" s="88" t="s">
        <v>95</v>
      </c>
      <c r="C90" s="88"/>
      <c r="D90" s="88"/>
      <c r="E90" s="88"/>
    </row>
    <row r="91" customFormat="false" ht="15" hidden="false" customHeight="false" outlineLevel="0" collapsed="false">
      <c r="C91" s="2" t="s">
        <v>96</v>
      </c>
    </row>
    <row r="92" customFormat="false" ht="15" hidden="false" customHeight="false" outlineLevel="0" collapsed="false">
      <c r="B92" s="0" t="s">
        <v>97</v>
      </c>
      <c r="C92" s="2" t="n">
        <v>2</v>
      </c>
      <c r="D92" s="0" t="s">
        <v>63</v>
      </c>
      <c r="E92" s="89" t="n">
        <f aca="false">C92*E82</f>
        <v>45</v>
      </c>
    </row>
    <row r="93" customFormat="false" ht="15" hidden="false" customHeight="false" outlineLevel="0" collapsed="false">
      <c r="E93" s="18"/>
    </row>
    <row r="94" customFormat="false" ht="15" hidden="false" customHeight="false" outlineLevel="0" collapsed="false">
      <c r="B94" s="90" t="s">
        <v>64</v>
      </c>
      <c r="C94" s="90"/>
      <c r="D94" s="90"/>
      <c r="E94" s="90"/>
    </row>
    <row r="95" customFormat="false" ht="15" hidden="false" customHeight="false" outlineLevel="0" collapsed="false">
      <c r="B95" s="91" t="s">
        <v>65</v>
      </c>
      <c r="D95" s="0" t="s">
        <v>66</v>
      </c>
      <c r="E95" s="93" t="n">
        <v>335</v>
      </c>
    </row>
    <row r="96" customFormat="false" ht="15" hidden="false" customHeight="false" outlineLevel="0" collapsed="false">
      <c r="B96" s="91" t="s">
        <v>67</v>
      </c>
      <c r="C96" s="0" t="s">
        <v>98</v>
      </c>
      <c r="D96" s="0" t="s">
        <v>69</v>
      </c>
      <c r="E96" s="98" t="n">
        <f aca="false">(E92/E95)*1000</f>
        <v>134.33</v>
      </c>
    </row>
    <row r="97" customFormat="false" ht="15" hidden="false" customHeight="false" outlineLevel="0" collapsed="false">
      <c r="B97" s="91" t="s">
        <v>81</v>
      </c>
      <c r="D97" s="0" t="s">
        <v>69</v>
      </c>
      <c r="E97" s="98" t="n">
        <v>134</v>
      </c>
    </row>
    <row r="98" customFormat="false" ht="15" hidden="false" customHeight="false" outlineLevel="0" collapsed="false">
      <c r="B98" s="91" t="s">
        <v>70</v>
      </c>
      <c r="D98" s="0" t="s">
        <v>47</v>
      </c>
      <c r="E98" s="93" t="n">
        <v>1.98</v>
      </c>
    </row>
    <row r="99" customFormat="false" ht="15" hidden="false" customHeight="false" outlineLevel="0" collapsed="false">
      <c r="B99" s="91" t="s">
        <v>99</v>
      </c>
      <c r="C99" s="0" t="s">
        <v>72</v>
      </c>
      <c r="D99" s="0" t="s">
        <v>47</v>
      </c>
      <c r="E99" s="98" t="n">
        <f aca="false">E98*E97</f>
        <v>265.32</v>
      </c>
    </row>
    <row r="100" customFormat="false" ht="15" hidden="false" customHeight="false" outlineLevel="0" collapsed="false">
      <c r="B100" s="91" t="s">
        <v>99</v>
      </c>
      <c r="D100" s="41" t="s">
        <v>89</v>
      </c>
      <c r="E100" s="100" t="n">
        <f aca="false">E99/E7</f>
        <v>0.77</v>
      </c>
    </row>
    <row r="101" customFormat="false" ht="15" hidden="false" customHeight="false" outlineLevel="0" collapsed="false">
      <c r="B101" s="91"/>
      <c r="D101" s="41"/>
      <c r="E101" s="100"/>
    </row>
    <row r="102" customFormat="false" ht="15" hidden="false" customHeight="false" outlineLevel="0" collapsed="false">
      <c r="B102" s="91" t="s">
        <v>82</v>
      </c>
      <c r="C102" s="0" t="s">
        <v>83</v>
      </c>
      <c r="D102" s="0" t="s">
        <v>63</v>
      </c>
      <c r="E102" s="93" t="n">
        <f aca="false">E97*E95/1000</f>
        <v>44.89</v>
      </c>
    </row>
    <row r="103" customFormat="false" ht="15" hidden="false" customHeight="false" outlineLevel="0" collapsed="false">
      <c r="B103" s="91" t="s">
        <v>84</v>
      </c>
      <c r="C103" s="0" t="s">
        <v>85</v>
      </c>
      <c r="D103" s="0" t="s">
        <v>40</v>
      </c>
      <c r="E103" s="98" t="n">
        <f aca="false">E97*E95*E12/1000</f>
        <v>64638.46</v>
      </c>
    </row>
    <row r="104" customFormat="false" ht="15" hidden="false" customHeight="false" outlineLevel="0" collapsed="false">
      <c r="B104" s="91" t="s">
        <v>86</v>
      </c>
      <c r="C104" s="0" t="s">
        <v>51</v>
      </c>
      <c r="D104" s="0" t="s">
        <v>40</v>
      </c>
      <c r="E104" s="93" t="n">
        <f aca="false">K20*12</f>
        <v>32825.16</v>
      </c>
    </row>
    <row r="105" customFormat="false" ht="15" hidden="false" customHeight="false" outlineLevel="0" collapsed="false">
      <c r="B105" s="91"/>
      <c r="E105" s="93"/>
    </row>
    <row r="106" customFormat="false" ht="15" hidden="false" customHeight="false" outlineLevel="0" collapsed="false">
      <c r="B106" s="91" t="s">
        <v>87</v>
      </c>
      <c r="C106" s="0" t="s">
        <v>88</v>
      </c>
      <c r="D106" s="0" t="s">
        <v>89</v>
      </c>
      <c r="E106" s="104" t="n">
        <f aca="false">E104/E103</f>
        <v>0.5078</v>
      </c>
    </row>
    <row r="107" customFormat="false" ht="15" hidden="false" customHeight="false" outlineLevel="0" collapsed="false">
      <c r="B107" s="91"/>
      <c r="E107" s="93"/>
    </row>
    <row r="108" customFormat="false" ht="15" hidden="false" customHeight="false" outlineLevel="0" collapsed="false">
      <c r="B108" s="91" t="s">
        <v>73</v>
      </c>
      <c r="D108" s="0" t="s">
        <v>74</v>
      </c>
      <c r="E108" s="93" t="n">
        <v>829</v>
      </c>
    </row>
    <row r="109" customFormat="false" ht="15" hidden="false" customHeight="false" outlineLevel="0" collapsed="false">
      <c r="B109" s="91" t="s">
        <v>75</v>
      </c>
      <c r="D109" s="0" t="s">
        <v>74</v>
      </c>
      <c r="E109" s="98" t="n">
        <f aca="false">E108*E97</f>
        <v>111086</v>
      </c>
    </row>
    <row r="110" customFormat="false" ht="15" hidden="false" customHeight="false" outlineLevel="0" collapsed="false">
      <c r="B110" s="91" t="s">
        <v>101</v>
      </c>
      <c r="D110" s="0" t="s">
        <v>74</v>
      </c>
      <c r="E110" s="98" t="n">
        <f aca="false">C92*E83</f>
        <v>41978</v>
      </c>
    </row>
    <row r="111" customFormat="false" ht="15" hidden="false" customHeight="false" outlineLevel="0" collapsed="false">
      <c r="B111" s="94" t="s">
        <v>102</v>
      </c>
      <c r="C111" s="95"/>
      <c r="D111" s="95" t="s">
        <v>74</v>
      </c>
      <c r="E111" s="101" t="n">
        <f aca="false">SUM(E109:E110)</f>
        <v>153064</v>
      </c>
    </row>
    <row r="112" customFormat="false" ht="15" hidden="false" customHeight="false" outlineLevel="0" collapsed="false">
      <c r="E112" s="18"/>
    </row>
    <row r="113" customFormat="false" ht="15" hidden="false" customHeight="false" outlineLevel="0" collapsed="false">
      <c r="E113" s="18"/>
    </row>
    <row r="114" customFormat="false" ht="15" hidden="false" customHeight="false" outlineLevel="0" collapsed="false">
      <c r="B114" s="90" t="s">
        <v>76</v>
      </c>
      <c r="C114" s="90"/>
      <c r="D114" s="90"/>
      <c r="E114" s="90"/>
    </row>
    <row r="115" customFormat="false" ht="15" hidden="false" customHeight="false" outlineLevel="0" collapsed="false">
      <c r="B115" s="91" t="s">
        <v>65</v>
      </c>
      <c r="D115" s="0" t="s">
        <v>66</v>
      </c>
      <c r="E115" s="93" t="n">
        <v>400</v>
      </c>
    </row>
    <row r="116" customFormat="false" ht="15" hidden="false" customHeight="false" outlineLevel="0" collapsed="false">
      <c r="B116" s="91" t="s">
        <v>67</v>
      </c>
      <c r="C116" s="0" t="s">
        <v>103</v>
      </c>
      <c r="D116" s="0" t="s">
        <v>69</v>
      </c>
      <c r="E116" s="98" t="n">
        <f aca="false">(E92/E115)*1000</f>
        <v>112.5</v>
      </c>
    </row>
    <row r="117" customFormat="false" ht="15" hidden="false" customHeight="false" outlineLevel="0" collapsed="false">
      <c r="B117" s="91" t="s">
        <v>81</v>
      </c>
      <c r="D117" s="0" t="s">
        <v>69</v>
      </c>
      <c r="E117" s="98" t="n">
        <v>112</v>
      </c>
    </row>
    <row r="118" customFormat="false" ht="15" hidden="false" customHeight="false" outlineLevel="0" collapsed="false">
      <c r="B118" s="91" t="s">
        <v>70</v>
      </c>
      <c r="D118" s="0" t="s">
        <v>47</v>
      </c>
      <c r="E118" s="93" t="n">
        <f aca="false">E60</f>
        <v>2.03</v>
      </c>
    </row>
    <row r="119" customFormat="false" ht="15" hidden="false" customHeight="false" outlineLevel="0" collapsed="false">
      <c r="B119" s="91" t="s">
        <v>99</v>
      </c>
      <c r="C119" s="0" t="s">
        <v>72</v>
      </c>
      <c r="D119" s="0" t="s">
        <v>47</v>
      </c>
      <c r="E119" s="98" t="n">
        <f aca="false">E117*E118</f>
        <v>227.36</v>
      </c>
    </row>
    <row r="120" customFormat="false" ht="15" hidden="false" customHeight="false" outlineLevel="0" collapsed="false">
      <c r="B120" s="91" t="s">
        <v>99</v>
      </c>
      <c r="D120" s="41" t="s">
        <v>89</v>
      </c>
      <c r="E120" s="100" t="n">
        <f aca="false">E119/E7</f>
        <v>0.66</v>
      </c>
    </row>
    <row r="121" customFormat="false" ht="15" hidden="false" customHeight="false" outlineLevel="0" collapsed="false">
      <c r="B121" s="91"/>
      <c r="D121" s="41"/>
      <c r="E121" s="100"/>
    </row>
    <row r="122" customFormat="false" ht="15" hidden="false" customHeight="false" outlineLevel="0" collapsed="false">
      <c r="B122" s="91" t="s">
        <v>82</v>
      </c>
      <c r="C122" s="0" t="s">
        <v>83</v>
      </c>
      <c r="D122" s="0" t="s">
        <v>63</v>
      </c>
      <c r="E122" s="93" t="n">
        <f aca="false">E117*E115/1000</f>
        <v>44.8</v>
      </c>
    </row>
    <row r="123" customFormat="false" ht="15" hidden="false" customHeight="false" outlineLevel="0" collapsed="false">
      <c r="B123" s="91" t="s">
        <v>84</v>
      </c>
      <c r="C123" s="0" t="s">
        <v>85</v>
      </c>
      <c r="D123" s="0" t="s">
        <v>40</v>
      </c>
      <c r="E123" s="98" t="n">
        <f aca="false">E117*E115*E12/1000</f>
        <v>64508.86</v>
      </c>
    </row>
    <row r="124" customFormat="false" ht="15" hidden="false" customHeight="false" outlineLevel="0" collapsed="false">
      <c r="B124" s="91" t="s">
        <v>86</v>
      </c>
      <c r="C124" s="0" t="s">
        <v>51</v>
      </c>
      <c r="D124" s="0" t="s">
        <v>40</v>
      </c>
      <c r="E124" s="93" t="n">
        <f aca="false">K20*12</f>
        <v>32825.16</v>
      </c>
    </row>
    <row r="125" customFormat="false" ht="15" hidden="false" customHeight="false" outlineLevel="0" collapsed="false">
      <c r="B125" s="91"/>
      <c r="E125" s="93"/>
    </row>
    <row r="126" customFormat="false" ht="15" hidden="false" customHeight="false" outlineLevel="0" collapsed="false">
      <c r="B126" s="91" t="s">
        <v>87</v>
      </c>
      <c r="C126" s="0" t="s">
        <v>88</v>
      </c>
      <c r="D126" s="0" t="s">
        <v>89</v>
      </c>
      <c r="E126" s="104" t="n">
        <f aca="false">E124/E123</f>
        <v>0.5088</v>
      </c>
    </row>
    <row r="127" customFormat="false" ht="15" hidden="false" customHeight="false" outlineLevel="0" collapsed="false">
      <c r="B127" s="91"/>
      <c r="E127" s="93"/>
    </row>
    <row r="128" customFormat="false" ht="15" hidden="false" customHeight="false" outlineLevel="0" collapsed="false">
      <c r="B128" s="91" t="s">
        <v>73</v>
      </c>
      <c r="D128" s="0" t="s">
        <v>74</v>
      </c>
      <c r="E128" s="93" t="n">
        <v>1129</v>
      </c>
    </row>
    <row r="129" customFormat="false" ht="15" hidden="false" customHeight="false" outlineLevel="0" collapsed="false">
      <c r="B129" s="91" t="s">
        <v>75</v>
      </c>
      <c r="D129" s="0" t="s">
        <v>74</v>
      </c>
      <c r="E129" s="98" t="n">
        <f aca="false">E128*E117</f>
        <v>126448</v>
      </c>
    </row>
    <row r="130" customFormat="false" ht="15" hidden="false" customHeight="false" outlineLevel="0" collapsed="false">
      <c r="B130" s="91" t="s">
        <v>101</v>
      </c>
      <c r="D130" s="0" t="s">
        <v>74</v>
      </c>
      <c r="E130" s="98" t="n">
        <f aca="false">C92*E83</f>
        <v>41978</v>
      </c>
    </row>
    <row r="131" customFormat="false" ht="15" hidden="false" customHeight="false" outlineLevel="0" collapsed="false">
      <c r="B131" s="94" t="s">
        <v>102</v>
      </c>
      <c r="C131" s="95"/>
      <c r="D131" s="95" t="s">
        <v>74</v>
      </c>
      <c r="E131" s="101" t="n">
        <f aca="false">SUM(E129:E130)</f>
        <v>168426</v>
      </c>
    </row>
  </sheetData>
  <mergeCells count="13">
    <mergeCell ref="B5:E5"/>
    <mergeCell ref="B15:E15"/>
    <mergeCell ref="B19:E19"/>
    <mergeCell ref="B28:E28"/>
    <mergeCell ref="B39:E39"/>
    <mergeCell ref="B43:E43"/>
    <mergeCell ref="B59:E59"/>
    <mergeCell ref="B75:E75"/>
    <mergeCell ref="B80:E80"/>
    <mergeCell ref="B85:E85"/>
    <mergeCell ref="B90:E90"/>
    <mergeCell ref="B94:E94"/>
    <mergeCell ref="B114:E114"/>
  </mergeCells>
  <printOptions headings="false" gridLines="false" gridLinesSet="true" horizontalCentered="false" verticalCentered="false"/>
  <pageMargins left="0.511805555555555" right="0.511805555555555" top="1.18125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K1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34"/>
    <col collapsed="false" customWidth="true" hidden="false" outlineLevel="0" max="3" min="3" style="0" width="48.86"/>
    <col collapsed="false" customWidth="true" hidden="false" outlineLevel="0" max="4" min="4" style="0" width="12.42"/>
    <col collapsed="false" customWidth="true" hidden="false" outlineLevel="0" max="5" min="5" style="0" width="23.01"/>
    <col collapsed="false" customWidth="true" hidden="false" outlineLevel="0" max="10" min="6" style="0" width="9"/>
    <col collapsed="false" customWidth="true" hidden="false" outlineLevel="0" max="11" min="11" style="0" width="19.71"/>
    <col collapsed="false" customWidth="true" hidden="false" outlineLevel="0" max="12" min="12" style="0" width="20.29"/>
    <col collapsed="false" customWidth="true" hidden="false" outlineLevel="0" max="64" min="13" style="0" width="9"/>
  </cols>
  <sheetData>
    <row r="2" customFormat="false" ht="15" hidden="false" customHeight="false" outlineLevel="0" collapsed="false">
      <c r="B2" s="0" t="s">
        <v>113</v>
      </c>
    </row>
    <row r="3" customFormat="false" ht="15" hidden="false" customHeight="false" outlineLevel="0" collapsed="false">
      <c r="B3" s="0" t="s">
        <v>114</v>
      </c>
    </row>
    <row r="5" customFormat="false" ht="15" hidden="false" customHeight="false" outlineLevel="0" collapsed="false">
      <c r="B5" s="83" t="s">
        <v>115</v>
      </c>
      <c r="C5" s="83"/>
      <c r="D5" s="83"/>
      <c r="E5" s="83"/>
    </row>
    <row r="6" customFormat="false" ht="15" hidden="false" customHeight="false" outlineLevel="0" collapsed="false">
      <c r="B6" s="0" t="s">
        <v>45</v>
      </c>
      <c r="C6" s="2" t="s">
        <v>24</v>
      </c>
      <c r="K6" s="84" t="str">
        <f aca="false">B5</f>
        <v>CATALÃO</v>
      </c>
    </row>
    <row r="7" customFormat="false" ht="15" hidden="false" customHeight="false" outlineLevel="0" collapsed="false">
      <c r="B7" s="0" t="s">
        <v>46</v>
      </c>
      <c r="D7" s="0" t="s">
        <v>47</v>
      </c>
      <c r="E7" s="89" t="n">
        <v>406.43</v>
      </c>
      <c r="J7" s="78" t="n">
        <v>43466</v>
      </c>
      <c r="K7" s="106" t="n">
        <v>3240</v>
      </c>
    </row>
    <row r="8" customFormat="false" ht="15" hidden="false" customHeight="false" outlineLevel="0" collapsed="false">
      <c r="B8" s="0" t="s">
        <v>48</v>
      </c>
      <c r="E8" s="108" t="s">
        <v>116</v>
      </c>
      <c r="J8" s="78" t="n">
        <v>43497</v>
      </c>
      <c r="K8" s="106" t="n">
        <v>3981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K20*12</f>
        <v>38527.83</v>
      </c>
      <c r="J9" s="78" t="n">
        <v>43525</v>
      </c>
      <c r="K9" s="106" t="n">
        <v>3256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5.3</v>
      </c>
      <c r="J10" s="78" t="n">
        <v>43556</v>
      </c>
      <c r="K10" s="106" t="n">
        <v>3577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0.75</v>
      </c>
      <c r="J11" s="78" t="n">
        <v>43586</v>
      </c>
      <c r="K11" s="106" t="n">
        <v>3182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1450.88</v>
      </c>
      <c r="J12" s="78" t="n">
        <v>43617</v>
      </c>
      <c r="K12" s="106" t="n">
        <v>2534</v>
      </c>
    </row>
    <row r="13" customFormat="false" ht="15" hidden="false" customHeight="false" outlineLevel="0" collapsed="false">
      <c r="J13" s="78" t="n">
        <v>43647</v>
      </c>
      <c r="K13" s="106" t="n">
        <v>2001</v>
      </c>
    </row>
    <row r="14" customFormat="false" ht="15" hidden="false" customHeight="false" outlineLevel="0" collapsed="false">
      <c r="J14" s="78" t="n">
        <v>43678</v>
      </c>
      <c r="K14" s="106" t="n">
        <v>2018</v>
      </c>
    </row>
    <row r="15" customFormat="false" ht="15" hidden="false" customHeight="false" outlineLevel="0" collapsed="false">
      <c r="B15" s="88" t="s">
        <v>60</v>
      </c>
      <c r="C15" s="88"/>
      <c r="D15" s="88"/>
      <c r="E15" s="88"/>
      <c r="J15" s="78" t="n">
        <v>43709</v>
      </c>
      <c r="K15" s="106" t="n">
        <v>3548</v>
      </c>
    </row>
    <row r="16" customFormat="false" ht="15" hidden="false" customHeight="false" outlineLevel="0" collapsed="false">
      <c r="J16" s="78" t="n">
        <v>43739</v>
      </c>
      <c r="K16" s="106" t="n">
        <v>4223</v>
      </c>
    </row>
    <row r="17" customFormat="false" ht="15" hidden="false" customHeight="false" outlineLevel="0" collapsed="false">
      <c r="B17" s="0" t="s">
        <v>61</v>
      </c>
      <c r="C17" s="0" t="s">
        <v>62</v>
      </c>
      <c r="D17" s="0" t="s">
        <v>63</v>
      </c>
      <c r="E17" s="89" t="n">
        <f aca="false">E9/E12</f>
        <v>26.55</v>
      </c>
      <c r="J17" s="78" t="n">
        <v>43770</v>
      </c>
      <c r="K17" s="106" t="n">
        <v>3764</v>
      </c>
    </row>
    <row r="18" customFormat="false" ht="15" hidden="false" customHeight="false" outlineLevel="0" collapsed="false">
      <c r="J18" s="78" t="n">
        <v>43800</v>
      </c>
      <c r="K18" s="106" t="n">
        <v>3203.83</v>
      </c>
    </row>
    <row r="19" customFormat="false" ht="15" hidden="false" customHeight="false" outlineLevel="0" collapsed="false">
      <c r="B19" s="90" t="s">
        <v>64</v>
      </c>
      <c r="C19" s="90"/>
      <c r="D19" s="90"/>
      <c r="E19" s="90"/>
    </row>
    <row r="20" customFormat="false" ht="15" hidden="false" customHeight="false" outlineLevel="0" collapsed="false">
      <c r="B20" s="91" t="s">
        <v>65</v>
      </c>
      <c r="D20" s="0" t="s">
        <v>66</v>
      </c>
      <c r="E20" s="97" t="n">
        <v>335</v>
      </c>
      <c r="J20" s="0" t="s">
        <v>39</v>
      </c>
      <c r="K20" s="0" t="n">
        <f aca="false">(SUM(K7:K18))/12</f>
        <v>3210.6525</v>
      </c>
    </row>
    <row r="21" customFormat="false" ht="15" hidden="false" customHeight="false" outlineLevel="0" collapsed="false">
      <c r="B21" s="91" t="s">
        <v>67</v>
      </c>
      <c r="C21" s="0" t="s">
        <v>68</v>
      </c>
      <c r="D21" s="0" t="s">
        <v>69</v>
      </c>
      <c r="E21" s="93" t="n">
        <f aca="false">(E17*1000/E20)</f>
        <v>79.25</v>
      </c>
    </row>
    <row r="22" customFormat="false" ht="15" hidden="false" customHeight="false" outlineLevel="0" collapsed="false">
      <c r="B22" s="91" t="s">
        <v>70</v>
      </c>
      <c r="D22" s="0" t="s">
        <v>47</v>
      </c>
      <c r="E22" s="93" t="n">
        <v>1.98</v>
      </c>
    </row>
    <row r="23" customFormat="false" ht="15" hidden="false" customHeight="false" outlineLevel="0" collapsed="false">
      <c r="B23" s="91" t="s">
        <v>71</v>
      </c>
      <c r="C23" s="0" t="s">
        <v>72</v>
      </c>
      <c r="D23" s="0" t="s">
        <v>47</v>
      </c>
      <c r="E23" s="93" t="n">
        <f aca="false">E21*E22</f>
        <v>156.92</v>
      </c>
    </row>
    <row r="24" customFormat="false" ht="15" hidden="false" customHeight="false" outlineLevel="0" collapsed="false">
      <c r="B24" s="91" t="s">
        <v>73</v>
      </c>
      <c r="D24" s="0" t="s">
        <v>74</v>
      </c>
      <c r="E24" s="93" t="n">
        <v>829</v>
      </c>
    </row>
    <row r="25" customFormat="false" ht="15" hidden="false" customHeight="false" outlineLevel="0" collapsed="false">
      <c r="B25" s="91"/>
      <c r="E25" s="93"/>
    </row>
    <row r="26" customFormat="false" ht="15" hidden="false" customHeight="false" outlineLevel="0" collapsed="false">
      <c r="B26" s="94" t="s">
        <v>75</v>
      </c>
      <c r="C26" s="95"/>
      <c r="D26" s="95" t="s">
        <v>74</v>
      </c>
      <c r="E26" s="96" t="n">
        <f aca="false">E24*E21</f>
        <v>65698.25</v>
      </c>
    </row>
    <row r="28" customFormat="false" ht="15" hidden="false" customHeight="false" outlineLevel="0" collapsed="false">
      <c r="B28" s="90" t="s">
        <v>76</v>
      </c>
      <c r="C28" s="90"/>
      <c r="D28" s="90"/>
      <c r="E28" s="90"/>
    </row>
    <row r="29" customFormat="false" ht="15" hidden="false" customHeight="false" outlineLevel="0" collapsed="false">
      <c r="B29" s="91" t="s">
        <v>65</v>
      </c>
      <c r="D29" s="0" t="s">
        <v>66</v>
      </c>
      <c r="E29" s="93" t="n">
        <v>400</v>
      </c>
    </row>
    <row r="30" customFormat="false" ht="15" hidden="false" customHeight="false" outlineLevel="0" collapsed="false">
      <c r="B30" s="91" t="s">
        <v>67</v>
      </c>
      <c r="C30" s="0" t="s">
        <v>68</v>
      </c>
      <c r="D30" s="0" t="s">
        <v>69</v>
      </c>
      <c r="E30" s="93" t="n">
        <f aca="false">(E17*1000)/E29</f>
        <v>66.38</v>
      </c>
    </row>
    <row r="31" customFormat="false" ht="15" hidden="false" customHeight="false" outlineLevel="0" collapsed="false">
      <c r="B31" s="91" t="s">
        <v>70</v>
      </c>
      <c r="D31" s="0" t="s">
        <v>47</v>
      </c>
      <c r="E31" s="93" t="n">
        <v>2.03</v>
      </c>
    </row>
    <row r="32" customFormat="false" ht="15" hidden="false" customHeight="false" outlineLevel="0" collapsed="false">
      <c r="B32" s="91" t="s">
        <v>71</v>
      </c>
      <c r="C32" s="0" t="s">
        <v>72</v>
      </c>
      <c r="D32" s="0" t="s">
        <v>47</v>
      </c>
      <c r="E32" s="93" t="n">
        <f aca="false">E30*E31</f>
        <v>134.75</v>
      </c>
    </row>
    <row r="33" customFormat="false" ht="15" hidden="false" customHeight="false" outlineLevel="0" collapsed="false">
      <c r="B33" s="91" t="s">
        <v>73</v>
      </c>
      <c r="D33" s="0" t="s">
        <v>74</v>
      </c>
      <c r="E33" s="93" t="n">
        <v>1129</v>
      </c>
    </row>
    <row r="34" customFormat="false" ht="15" hidden="false" customHeight="false" outlineLevel="0" collapsed="false">
      <c r="B34" s="91"/>
      <c r="E34" s="97"/>
    </row>
    <row r="35" customFormat="false" ht="15" hidden="false" customHeight="false" outlineLevel="0" collapsed="false">
      <c r="B35" s="94" t="s">
        <v>75</v>
      </c>
      <c r="C35" s="95"/>
      <c r="D35" s="95" t="s">
        <v>74</v>
      </c>
      <c r="E35" s="96" t="n">
        <f aca="false">E33*E30</f>
        <v>74943.02</v>
      </c>
    </row>
    <row r="36" customFormat="false" ht="15" hidden="false" customHeight="false" outlineLevel="0" collapsed="false">
      <c r="E36" s="18"/>
    </row>
    <row r="39" customFormat="false" ht="15" hidden="false" customHeight="false" outlineLevel="0" collapsed="false">
      <c r="B39" s="88" t="s">
        <v>77</v>
      </c>
      <c r="C39" s="88"/>
      <c r="D39" s="88"/>
      <c r="E39" s="88"/>
    </row>
    <row r="41" customFormat="false" ht="15" hidden="false" customHeight="false" outlineLevel="0" collapsed="false">
      <c r="B41" s="0" t="s">
        <v>78</v>
      </c>
      <c r="C41" s="0" t="s">
        <v>79</v>
      </c>
      <c r="D41" s="0" t="s">
        <v>47</v>
      </c>
      <c r="E41" s="89" t="n">
        <f aca="false">E7*0.8</f>
        <v>325.14</v>
      </c>
    </row>
    <row r="42" customFormat="false" ht="15" hidden="false" customHeight="false" outlineLevel="0" collapsed="false">
      <c r="E42" s="18"/>
    </row>
    <row r="43" customFormat="false" ht="15" hidden="false" customHeight="false" outlineLevel="0" collapsed="false">
      <c r="B43" s="90" t="s">
        <v>64</v>
      </c>
      <c r="C43" s="90"/>
      <c r="D43" s="90"/>
      <c r="E43" s="90"/>
    </row>
    <row r="44" customFormat="false" ht="15" hidden="false" customHeight="false" outlineLevel="0" collapsed="false">
      <c r="B44" s="91" t="s">
        <v>70</v>
      </c>
      <c r="D44" s="0" t="s">
        <v>47</v>
      </c>
      <c r="E44" s="93" t="n">
        <v>1.98</v>
      </c>
    </row>
    <row r="45" customFormat="false" ht="15" hidden="false" customHeight="false" outlineLevel="0" collapsed="false">
      <c r="B45" s="91" t="s">
        <v>67</v>
      </c>
      <c r="C45" s="0" t="s">
        <v>80</v>
      </c>
      <c r="D45" s="0" t="s">
        <v>69</v>
      </c>
      <c r="E45" s="98" t="n">
        <f aca="false">E41/E44</f>
        <v>164.21</v>
      </c>
    </row>
    <row r="46" customFormat="false" ht="15" hidden="false" customHeight="false" outlineLevel="0" collapsed="false">
      <c r="B46" s="91" t="s">
        <v>81</v>
      </c>
      <c r="D46" s="0" t="s">
        <v>69</v>
      </c>
      <c r="E46" s="98" t="n">
        <v>164</v>
      </c>
    </row>
    <row r="47" customFormat="false" ht="15" hidden="false" customHeight="false" outlineLevel="0" collapsed="false">
      <c r="B47" s="91" t="s">
        <v>65</v>
      </c>
      <c r="D47" s="0" t="s">
        <v>66</v>
      </c>
      <c r="E47" s="93" t="n">
        <v>335</v>
      </c>
    </row>
    <row r="48" customFormat="false" ht="15" hidden="false" customHeight="false" outlineLevel="0" collapsed="false">
      <c r="B48" s="91" t="s">
        <v>82</v>
      </c>
      <c r="C48" s="0" t="s">
        <v>83</v>
      </c>
      <c r="D48" s="0" t="s">
        <v>63</v>
      </c>
      <c r="E48" s="98" t="n">
        <f aca="false">(E46*E47)/1000</f>
        <v>54.94</v>
      </c>
    </row>
    <row r="49" customFormat="false" ht="15" hidden="false" customHeight="false" outlineLevel="0" collapsed="false">
      <c r="B49" s="91"/>
      <c r="E49" s="93"/>
    </row>
    <row r="50" customFormat="false" ht="15" hidden="false" customHeight="false" outlineLevel="0" collapsed="false">
      <c r="B50" s="91" t="s">
        <v>84</v>
      </c>
      <c r="C50" s="0" t="s">
        <v>85</v>
      </c>
      <c r="D50" s="0" t="s">
        <v>40</v>
      </c>
      <c r="E50" s="98" t="n">
        <f aca="false">E48*E12</f>
        <v>79711.35</v>
      </c>
    </row>
    <row r="51" customFormat="false" ht="15" hidden="false" customHeight="false" outlineLevel="0" collapsed="false">
      <c r="B51" s="91" t="s">
        <v>86</v>
      </c>
      <c r="C51" s="0" t="s">
        <v>51</v>
      </c>
      <c r="D51" s="0" t="s">
        <v>40</v>
      </c>
      <c r="E51" s="93" t="n">
        <f aca="false">K20*12</f>
        <v>38527.83</v>
      </c>
    </row>
    <row r="52" customFormat="false" ht="15" hidden="false" customHeight="false" outlineLevel="0" collapsed="false">
      <c r="B52" s="91"/>
      <c r="E52" s="93"/>
    </row>
    <row r="53" customFormat="false" ht="15" hidden="false" customHeight="false" outlineLevel="0" collapsed="false">
      <c r="B53" s="91" t="s">
        <v>87</v>
      </c>
      <c r="C53" s="0" t="s">
        <v>88</v>
      </c>
      <c r="D53" s="0" t="s">
        <v>89</v>
      </c>
      <c r="E53" s="100" t="n">
        <f aca="false">E51/E50</f>
        <v>0.48</v>
      </c>
    </row>
    <row r="54" customFormat="false" ht="15" hidden="false" customHeight="false" outlineLevel="0" collapsed="false">
      <c r="B54" s="91"/>
      <c r="E54" s="93"/>
    </row>
    <row r="55" customFormat="false" ht="15" hidden="false" customHeight="false" outlineLevel="0" collapsed="false">
      <c r="B55" s="91" t="s">
        <v>73</v>
      </c>
      <c r="D55" s="0" t="s">
        <v>74</v>
      </c>
      <c r="E55" s="93" t="n">
        <v>839</v>
      </c>
    </row>
    <row r="56" customFormat="false" ht="15" hidden="false" customHeight="false" outlineLevel="0" collapsed="false">
      <c r="B56" s="94" t="s">
        <v>75</v>
      </c>
      <c r="C56" s="95"/>
      <c r="D56" s="95" t="s">
        <v>74</v>
      </c>
      <c r="E56" s="101" t="n">
        <f aca="false">E55*E46</f>
        <v>137596</v>
      </c>
    </row>
    <row r="57" customFormat="false" ht="15" hidden="false" customHeight="false" outlineLevel="0" collapsed="false">
      <c r="E57" s="18"/>
    </row>
    <row r="58" customFormat="false" ht="15" hidden="false" customHeight="false" outlineLevel="0" collapsed="false">
      <c r="E58" s="18"/>
    </row>
    <row r="59" customFormat="false" ht="15" hidden="false" customHeight="false" outlineLevel="0" collapsed="false">
      <c r="B59" s="90" t="s">
        <v>76</v>
      </c>
      <c r="C59" s="90"/>
      <c r="D59" s="90"/>
      <c r="E59" s="90"/>
    </row>
    <row r="60" customFormat="false" ht="15" hidden="false" customHeight="false" outlineLevel="0" collapsed="false">
      <c r="B60" s="91" t="s">
        <v>70</v>
      </c>
      <c r="D60" s="0" t="s">
        <v>47</v>
      </c>
      <c r="E60" s="93" t="n">
        <f aca="false">E31</f>
        <v>2.03</v>
      </c>
    </row>
    <row r="61" customFormat="false" ht="15" hidden="false" customHeight="false" outlineLevel="0" collapsed="false">
      <c r="B61" s="91" t="s">
        <v>67</v>
      </c>
      <c r="C61" s="0" t="s">
        <v>80</v>
      </c>
      <c r="D61" s="0" t="s">
        <v>69</v>
      </c>
      <c r="E61" s="98" t="n">
        <f aca="false">E41/E60</f>
        <v>160.17</v>
      </c>
    </row>
    <row r="62" customFormat="false" ht="15" hidden="false" customHeight="false" outlineLevel="0" collapsed="false">
      <c r="B62" s="91" t="s">
        <v>81</v>
      </c>
      <c r="D62" s="0" t="s">
        <v>69</v>
      </c>
      <c r="E62" s="98" t="n">
        <v>160</v>
      </c>
    </row>
    <row r="63" customFormat="false" ht="15" hidden="false" customHeight="false" outlineLevel="0" collapsed="false">
      <c r="B63" s="91" t="s">
        <v>65</v>
      </c>
      <c r="D63" s="0" t="s">
        <v>66</v>
      </c>
      <c r="E63" s="93" t="n">
        <v>400</v>
      </c>
    </row>
    <row r="64" customFormat="false" ht="15" hidden="false" customHeight="false" outlineLevel="0" collapsed="false">
      <c r="B64" s="91" t="s">
        <v>82</v>
      </c>
      <c r="C64" s="0" t="s">
        <v>83</v>
      </c>
      <c r="D64" s="0" t="s">
        <v>63</v>
      </c>
      <c r="E64" s="98" t="n">
        <f aca="false">(E62*E63)/1000</f>
        <v>64</v>
      </c>
    </row>
    <row r="65" customFormat="false" ht="15" hidden="false" customHeight="false" outlineLevel="0" collapsed="false">
      <c r="B65" s="91"/>
      <c r="E65" s="93"/>
    </row>
    <row r="66" customFormat="false" ht="15" hidden="false" customHeight="false" outlineLevel="0" collapsed="false">
      <c r="B66" s="91" t="s">
        <v>84</v>
      </c>
      <c r="C66" s="0" t="s">
        <v>85</v>
      </c>
      <c r="D66" s="0" t="s">
        <v>40</v>
      </c>
      <c r="E66" s="98" t="n">
        <f aca="false">E64*E12</f>
        <v>92856.32</v>
      </c>
    </row>
    <row r="67" customFormat="false" ht="15" hidden="false" customHeight="false" outlineLevel="0" collapsed="false">
      <c r="B67" s="91" t="s">
        <v>86</v>
      </c>
      <c r="C67" s="0" t="s">
        <v>51</v>
      </c>
      <c r="D67" s="0" t="s">
        <v>40</v>
      </c>
      <c r="E67" s="93" t="n">
        <f aca="false">K20*12</f>
        <v>38527.83</v>
      </c>
    </row>
    <row r="68" customFormat="false" ht="15" hidden="false" customHeight="false" outlineLevel="0" collapsed="false">
      <c r="B68" s="91"/>
      <c r="E68" s="93"/>
    </row>
    <row r="69" customFormat="false" ht="15" hidden="false" customHeight="false" outlineLevel="0" collapsed="false">
      <c r="B69" s="91" t="s">
        <v>87</v>
      </c>
      <c r="C69" s="0" t="s">
        <v>88</v>
      </c>
      <c r="D69" s="0" t="s">
        <v>89</v>
      </c>
      <c r="E69" s="100" t="n">
        <f aca="false">E67/E66</f>
        <v>0.41</v>
      </c>
    </row>
    <row r="70" customFormat="false" ht="15" hidden="false" customHeight="false" outlineLevel="0" collapsed="false">
      <c r="B70" s="91"/>
      <c r="E70" s="93"/>
    </row>
    <row r="71" customFormat="false" ht="15" hidden="false" customHeight="false" outlineLevel="0" collapsed="false">
      <c r="B71" s="91" t="s">
        <v>73</v>
      </c>
      <c r="D71" s="0" t="s">
        <v>74</v>
      </c>
      <c r="E71" s="93" t="n">
        <v>1129</v>
      </c>
    </row>
    <row r="72" customFormat="false" ht="15" hidden="false" customHeight="false" outlineLevel="0" collapsed="false">
      <c r="B72" s="94" t="s">
        <v>75</v>
      </c>
      <c r="C72" s="95"/>
      <c r="D72" s="95" t="s">
        <v>74</v>
      </c>
      <c r="E72" s="101" t="n">
        <f aca="false">E71*E62</f>
        <v>180640</v>
      </c>
    </row>
    <row r="73" customFormat="false" ht="15" hidden="false" customHeight="false" outlineLevel="0" collapsed="false">
      <c r="E73" s="18"/>
    </row>
    <row r="75" customFormat="false" ht="15" hidden="false" customHeight="false" outlineLevel="0" collapsed="false">
      <c r="B75" s="102" t="s">
        <v>90</v>
      </c>
      <c r="C75" s="102"/>
      <c r="D75" s="102"/>
      <c r="E75" s="102"/>
    </row>
    <row r="77" customFormat="false" ht="15" hidden="false" customHeight="false" outlineLevel="0" collapsed="false">
      <c r="B77" s="0" t="s">
        <v>91</v>
      </c>
      <c r="D77" s="0" t="s">
        <v>63</v>
      </c>
      <c r="E77" s="103" t="n">
        <v>30</v>
      </c>
    </row>
    <row r="78" customFormat="false" ht="15" hidden="false" customHeight="false" outlineLevel="0" collapsed="false">
      <c r="D78" s="0" t="s">
        <v>92</v>
      </c>
      <c r="E78" s="93" t="n">
        <v>21339</v>
      </c>
    </row>
    <row r="80" customFormat="false" ht="15" hidden="false" customHeight="false" outlineLevel="0" collapsed="false">
      <c r="B80" s="102" t="s">
        <v>93</v>
      </c>
      <c r="C80" s="102"/>
      <c r="D80" s="102"/>
      <c r="E80" s="102"/>
    </row>
    <row r="82" customFormat="false" ht="15" hidden="false" customHeight="false" outlineLevel="0" collapsed="false">
      <c r="B82" s="0" t="s">
        <v>91</v>
      </c>
      <c r="D82" s="0" t="s">
        <v>63</v>
      </c>
      <c r="E82" s="103" t="n">
        <v>22.5</v>
      </c>
    </row>
    <row r="83" customFormat="false" ht="15" hidden="false" customHeight="false" outlineLevel="0" collapsed="false">
      <c r="D83" s="0" t="s">
        <v>92</v>
      </c>
      <c r="E83" s="93" t="n">
        <v>20989</v>
      </c>
    </row>
    <row r="85" customFormat="false" ht="15" hidden="false" customHeight="false" outlineLevel="0" collapsed="false">
      <c r="B85" s="102" t="s">
        <v>94</v>
      </c>
      <c r="C85" s="102"/>
      <c r="D85" s="102"/>
      <c r="E85" s="102"/>
    </row>
    <row r="87" customFormat="false" ht="15" hidden="false" customHeight="false" outlineLevel="0" collapsed="false">
      <c r="B87" s="0" t="s">
        <v>91</v>
      </c>
      <c r="D87" s="0" t="s">
        <v>63</v>
      </c>
      <c r="E87" s="103" t="n">
        <v>45</v>
      </c>
    </row>
    <row r="88" customFormat="false" ht="15" hidden="false" customHeight="false" outlineLevel="0" collapsed="false">
      <c r="D88" s="0" t="s">
        <v>92</v>
      </c>
      <c r="E88" s="93" t="n">
        <v>29229</v>
      </c>
    </row>
    <row r="90" customFormat="false" ht="15" hidden="false" customHeight="false" outlineLevel="0" collapsed="false">
      <c r="B90" s="88" t="s">
        <v>95</v>
      </c>
      <c r="C90" s="88"/>
      <c r="D90" s="88"/>
      <c r="E90" s="88"/>
    </row>
    <row r="91" customFormat="false" ht="15" hidden="false" customHeight="false" outlineLevel="0" collapsed="false">
      <c r="C91" s="2" t="s">
        <v>96</v>
      </c>
    </row>
    <row r="92" customFormat="false" ht="15" hidden="false" customHeight="false" outlineLevel="0" collapsed="false">
      <c r="B92" s="0" t="s">
        <v>97</v>
      </c>
      <c r="C92" s="2" t="n">
        <v>2</v>
      </c>
      <c r="D92" s="0" t="s">
        <v>63</v>
      </c>
      <c r="E92" s="89" t="n">
        <f aca="false">C92*E82</f>
        <v>45</v>
      </c>
      <c r="H92" s="0" t="n">
        <f aca="false">0.5+0.5+0.5+0.5+0.5+0.1+0.1+0.1+0.1+0.1+0.1</f>
        <v>3.1</v>
      </c>
    </row>
    <row r="93" customFormat="false" ht="15" hidden="false" customHeight="false" outlineLevel="0" collapsed="false">
      <c r="E93" s="18"/>
    </row>
    <row r="94" customFormat="false" ht="15" hidden="false" customHeight="false" outlineLevel="0" collapsed="false">
      <c r="B94" s="90" t="s">
        <v>64</v>
      </c>
      <c r="C94" s="90"/>
      <c r="D94" s="90"/>
      <c r="E94" s="90"/>
    </row>
    <row r="95" customFormat="false" ht="15" hidden="false" customHeight="false" outlineLevel="0" collapsed="false">
      <c r="B95" s="91" t="s">
        <v>65</v>
      </c>
      <c r="D95" s="0" t="s">
        <v>66</v>
      </c>
      <c r="E95" s="93" t="n">
        <v>335</v>
      </c>
    </row>
    <row r="96" customFormat="false" ht="15" hidden="false" customHeight="false" outlineLevel="0" collapsed="false">
      <c r="B96" s="91" t="s">
        <v>67</v>
      </c>
      <c r="C96" s="0" t="s">
        <v>98</v>
      </c>
      <c r="D96" s="0" t="s">
        <v>69</v>
      </c>
      <c r="E96" s="98" t="n">
        <f aca="false">(E92/E95)*1000</f>
        <v>134.33</v>
      </c>
    </row>
    <row r="97" customFormat="false" ht="15" hidden="false" customHeight="false" outlineLevel="0" collapsed="false">
      <c r="B97" s="91" t="s">
        <v>81</v>
      </c>
      <c r="D97" s="0" t="s">
        <v>69</v>
      </c>
      <c r="E97" s="98" t="n">
        <v>134</v>
      </c>
    </row>
    <row r="98" customFormat="false" ht="15" hidden="false" customHeight="false" outlineLevel="0" collapsed="false">
      <c r="B98" s="91" t="s">
        <v>70</v>
      </c>
      <c r="D98" s="0" t="s">
        <v>47</v>
      </c>
      <c r="E98" s="93" t="n">
        <v>1.98</v>
      </c>
    </row>
    <row r="99" customFormat="false" ht="15" hidden="false" customHeight="false" outlineLevel="0" collapsed="false">
      <c r="B99" s="91" t="s">
        <v>99</v>
      </c>
      <c r="C99" s="0" t="s">
        <v>72</v>
      </c>
      <c r="D99" s="0" t="s">
        <v>47</v>
      </c>
      <c r="E99" s="98" t="n">
        <f aca="false">E98*E97</f>
        <v>265.32</v>
      </c>
    </row>
    <row r="100" customFormat="false" ht="15" hidden="false" customHeight="false" outlineLevel="0" collapsed="false">
      <c r="B100" s="91" t="s">
        <v>99</v>
      </c>
      <c r="D100" s="41" t="s">
        <v>89</v>
      </c>
      <c r="E100" s="100" t="n">
        <f aca="false">E99/E7</f>
        <v>0.65</v>
      </c>
    </row>
    <row r="101" customFormat="false" ht="15" hidden="false" customHeight="false" outlineLevel="0" collapsed="false">
      <c r="B101" s="91"/>
      <c r="D101" s="41"/>
      <c r="E101" s="100"/>
    </row>
    <row r="102" customFormat="false" ht="15" hidden="false" customHeight="false" outlineLevel="0" collapsed="false">
      <c r="B102" s="91" t="s">
        <v>82</v>
      </c>
      <c r="C102" s="0" t="s">
        <v>83</v>
      </c>
      <c r="D102" s="0" t="s">
        <v>63</v>
      </c>
      <c r="E102" s="93" t="n">
        <f aca="false">E97*E95/1000</f>
        <v>44.89</v>
      </c>
    </row>
    <row r="103" customFormat="false" ht="15" hidden="false" customHeight="false" outlineLevel="0" collapsed="false">
      <c r="B103" s="91" t="s">
        <v>84</v>
      </c>
      <c r="C103" s="0" t="s">
        <v>85</v>
      </c>
      <c r="D103" s="0" t="s">
        <v>40</v>
      </c>
      <c r="E103" s="98" t="n">
        <f aca="false">E97*E95*E12/1000</f>
        <v>65130</v>
      </c>
    </row>
    <row r="104" customFormat="false" ht="15" hidden="false" customHeight="false" outlineLevel="0" collapsed="false">
      <c r="B104" s="91" t="s">
        <v>86</v>
      </c>
      <c r="C104" s="0" t="s">
        <v>51</v>
      </c>
      <c r="D104" s="0" t="s">
        <v>40</v>
      </c>
      <c r="E104" s="93" t="n">
        <f aca="false">K20*12</f>
        <v>38527.83</v>
      </c>
    </row>
    <row r="105" customFormat="false" ht="15" hidden="false" customHeight="false" outlineLevel="0" collapsed="false">
      <c r="B105" s="91"/>
      <c r="E105" s="93"/>
    </row>
    <row r="106" customFormat="false" ht="15" hidden="false" customHeight="false" outlineLevel="0" collapsed="false">
      <c r="B106" s="91" t="s">
        <v>87</v>
      </c>
      <c r="C106" s="0" t="s">
        <v>88</v>
      </c>
      <c r="D106" s="0" t="s">
        <v>89</v>
      </c>
      <c r="E106" s="104" t="n">
        <f aca="false">E104/E103</f>
        <v>0.5916</v>
      </c>
    </row>
    <row r="107" customFormat="false" ht="15" hidden="false" customHeight="false" outlineLevel="0" collapsed="false">
      <c r="B107" s="91"/>
      <c r="E107" s="93"/>
    </row>
    <row r="108" customFormat="false" ht="15" hidden="false" customHeight="false" outlineLevel="0" collapsed="false">
      <c r="B108" s="91" t="s">
        <v>73</v>
      </c>
      <c r="D108" s="0" t="s">
        <v>74</v>
      </c>
      <c r="E108" s="93" t="n">
        <v>839</v>
      </c>
    </row>
    <row r="109" customFormat="false" ht="15" hidden="false" customHeight="false" outlineLevel="0" collapsed="false">
      <c r="B109" s="91" t="s">
        <v>75</v>
      </c>
      <c r="D109" s="0" t="s">
        <v>74</v>
      </c>
      <c r="E109" s="98" t="n">
        <f aca="false">E108*E97</f>
        <v>112426</v>
      </c>
    </row>
    <row r="110" customFormat="false" ht="15" hidden="false" customHeight="false" outlineLevel="0" collapsed="false">
      <c r="B110" s="91" t="s">
        <v>101</v>
      </c>
      <c r="D110" s="0" t="s">
        <v>74</v>
      </c>
      <c r="E110" s="98" t="n">
        <f aca="false">C92*E83</f>
        <v>41978</v>
      </c>
    </row>
    <row r="111" customFormat="false" ht="15" hidden="false" customHeight="false" outlineLevel="0" collapsed="false">
      <c r="B111" s="94" t="s">
        <v>102</v>
      </c>
      <c r="C111" s="95"/>
      <c r="D111" s="95" t="s">
        <v>74</v>
      </c>
      <c r="E111" s="101" t="n">
        <f aca="false">SUM(E109:E110)</f>
        <v>154404</v>
      </c>
    </row>
    <row r="112" customFormat="false" ht="15" hidden="false" customHeight="false" outlineLevel="0" collapsed="false">
      <c r="E112" s="18"/>
    </row>
    <row r="113" customFormat="false" ht="15" hidden="false" customHeight="false" outlineLevel="0" collapsed="false">
      <c r="E113" s="18"/>
    </row>
    <row r="114" customFormat="false" ht="15" hidden="false" customHeight="false" outlineLevel="0" collapsed="false">
      <c r="B114" s="90" t="s">
        <v>76</v>
      </c>
      <c r="C114" s="90"/>
      <c r="D114" s="90"/>
      <c r="E114" s="90"/>
    </row>
    <row r="115" customFormat="false" ht="15" hidden="false" customHeight="false" outlineLevel="0" collapsed="false">
      <c r="B115" s="91" t="s">
        <v>65</v>
      </c>
      <c r="D115" s="0" t="s">
        <v>66</v>
      </c>
      <c r="E115" s="93" t="n">
        <v>400</v>
      </c>
    </row>
    <row r="116" customFormat="false" ht="15" hidden="false" customHeight="false" outlineLevel="0" collapsed="false">
      <c r="B116" s="91" t="s">
        <v>67</v>
      </c>
      <c r="C116" s="0" t="s">
        <v>103</v>
      </c>
      <c r="D116" s="0" t="s">
        <v>69</v>
      </c>
      <c r="E116" s="98" t="n">
        <f aca="false">(E92/E115)*1000</f>
        <v>112.5</v>
      </c>
    </row>
    <row r="117" customFormat="false" ht="15" hidden="false" customHeight="false" outlineLevel="0" collapsed="false">
      <c r="B117" s="91" t="s">
        <v>81</v>
      </c>
      <c r="D117" s="0" t="s">
        <v>69</v>
      </c>
      <c r="E117" s="98" t="n">
        <v>112</v>
      </c>
    </row>
    <row r="118" customFormat="false" ht="15" hidden="false" customHeight="false" outlineLevel="0" collapsed="false">
      <c r="B118" s="91" t="s">
        <v>70</v>
      </c>
      <c r="D118" s="0" t="s">
        <v>47</v>
      </c>
      <c r="E118" s="93" t="n">
        <f aca="false">E60</f>
        <v>2.03</v>
      </c>
    </row>
    <row r="119" customFormat="false" ht="15" hidden="false" customHeight="false" outlineLevel="0" collapsed="false">
      <c r="B119" s="91" t="s">
        <v>99</v>
      </c>
      <c r="C119" s="0" t="s">
        <v>72</v>
      </c>
      <c r="D119" s="0" t="s">
        <v>47</v>
      </c>
      <c r="E119" s="98" t="n">
        <f aca="false">E117*E118</f>
        <v>227.36</v>
      </c>
    </row>
    <row r="120" customFormat="false" ht="15" hidden="false" customHeight="false" outlineLevel="0" collapsed="false">
      <c r="B120" s="91" t="s">
        <v>99</v>
      </c>
      <c r="D120" s="41" t="s">
        <v>89</v>
      </c>
      <c r="E120" s="100" t="n">
        <f aca="false">E119/E7</f>
        <v>0.56</v>
      </c>
    </row>
    <row r="121" customFormat="false" ht="15" hidden="false" customHeight="false" outlineLevel="0" collapsed="false">
      <c r="B121" s="91"/>
      <c r="D121" s="41"/>
      <c r="E121" s="100"/>
    </row>
    <row r="122" customFormat="false" ht="15" hidden="false" customHeight="false" outlineLevel="0" collapsed="false">
      <c r="B122" s="91" t="s">
        <v>82</v>
      </c>
      <c r="C122" s="0" t="s">
        <v>83</v>
      </c>
      <c r="D122" s="0" t="s">
        <v>63</v>
      </c>
      <c r="E122" s="93" t="n">
        <f aca="false">E117*E115/1000</f>
        <v>44.8</v>
      </c>
    </row>
    <row r="123" customFormat="false" ht="15" hidden="false" customHeight="false" outlineLevel="0" collapsed="false">
      <c r="B123" s="91" t="s">
        <v>84</v>
      </c>
      <c r="C123" s="0" t="s">
        <v>85</v>
      </c>
      <c r="D123" s="0" t="s">
        <v>40</v>
      </c>
      <c r="E123" s="98" t="n">
        <f aca="false">E117*E115*E12/1000</f>
        <v>64999.42</v>
      </c>
    </row>
    <row r="124" customFormat="false" ht="15" hidden="false" customHeight="false" outlineLevel="0" collapsed="false">
      <c r="B124" s="91" t="s">
        <v>86</v>
      </c>
      <c r="C124" s="0" t="s">
        <v>51</v>
      </c>
      <c r="D124" s="0" t="s">
        <v>40</v>
      </c>
      <c r="E124" s="93" t="n">
        <f aca="false">K20*12</f>
        <v>38527.83</v>
      </c>
    </row>
    <row r="125" customFormat="false" ht="15" hidden="false" customHeight="false" outlineLevel="0" collapsed="false">
      <c r="B125" s="91"/>
      <c r="E125" s="93"/>
    </row>
    <row r="126" customFormat="false" ht="15" hidden="false" customHeight="false" outlineLevel="0" collapsed="false">
      <c r="B126" s="91" t="s">
        <v>87</v>
      </c>
      <c r="C126" s="0" t="s">
        <v>88</v>
      </c>
      <c r="D126" s="0" t="s">
        <v>89</v>
      </c>
      <c r="E126" s="104" t="n">
        <f aca="false">E124/E123</f>
        <v>0.5927</v>
      </c>
    </row>
    <row r="127" customFormat="false" ht="15" hidden="false" customHeight="false" outlineLevel="0" collapsed="false">
      <c r="B127" s="91"/>
      <c r="E127" s="93"/>
    </row>
    <row r="128" customFormat="false" ht="15" hidden="false" customHeight="false" outlineLevel="0" collapsed="false">
      <c r="B128" s="91" t="s">
        <v>73</v>
      </c>
      <c r="D128" s="0" t="s">
        <v>74</v>
      </c>
      <c r="E128" s="93" t="n">
        <v>1129</v>
      </c>
    </row>
    <row r="129" customFormat="false" ht="15" hidden="false" customHeight="false" outlineLevel="0" collapsed="false">
      <c r="B129" s="91" t="s">
        <v>75</v>
      </c>
      <c r="D129" s="0" t="s">
        <v>74</v>
      </c>
      <c r="E129" s="98" t="n">
        <f aca="false">E128*E117</f>
        <v>126448</v>
      </c>
    </row>
    <row r="130" customFormat="false" ht="15" hidden="false" customHeight="false" outlineLevel="0" collapsed="false">
      <c r="B130" s="91" t="s">
        <v>101</v>
      </c>
      <c r="D130" s="0" t="s">
        <v>74</v>
      </c>
      <c r="E130" s="98" t="n">
        <f aca="false">C92*E83</f>
        <v>41978</v>
      </c>
    </row>
    <row r="131" customFormat="false" ht="15" hidden="false" customHeight="false" outlineLevel="0" collapsed="false">
      <c r="B131" s="94" t="s">
        <v>102</v>
      </c>
      <c r="C131" s="95"/>
      <c r="D131" s="95" t="s">
        <v>74</v>
      </c>
      <c r="E131" s="101" t="n">
        <f aca="false">SUM(E129:E130)</f>
        <v>168426</v>
      </c>
    </row>
  </sheetData>
  <mergeCells count="13">
    <mergeCell ref="B5:E5"/>
    <mergeCell ref="B15:E15"/>
    <mergeCell ref="B19:E19"/>
    <mergeCell ref="B28:E28"/>
    <mergeCell ref="B39:E39"/>
    <mergeCell ref="B43:E43"/>
    <mergeCell ref="B59:E59"/>
    <mergeCell ref="B75:E75"/>
    <mergeCell ref="B80:E80"/>
    <mergeCell ref="B85:E85"/>
    <mergeCell ref="B90:E90"/>
    <mergeCell ref="B94:E94"/>
    <mergeCell ref="B114:E114"/>
  </mergeCells>
  <printOptions headings="false" gridLines="false" gridLinesSet="true" horizontalCentered="false" verticalCentered="false"/>
  <pageMargins left="0.511805555555555" right="0.511805555555555" top="1.18125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K1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34"/>
    <col collapsed="false" customWidth="true" hidden="false" outlineLevel="0" max="3" min="3" style="0" width="48.86"/>
    <col collapsed="false" customWidth="true" hidden="false" outlineLevel="0" max="4" min="4" style="0" width="12.42"/>
    <col collapsed="false" customWidth="true" hidden="false" outlineLevel="0" max="5" min="5" style="0" width="19"/>
    <col collapsed="false" customWidth="true" hidden="false" outlineLevel="0" max="10" min="6" style="0" width="9"/>
    <col collapsed="false" customWidth="true" hidden="false" outlineLevel="0" max="11" min="11" style="0" width="15.15"/>
    <col collapsed="false" customWidth="true" hidden="false" outlineLevel="0" max="64" min="12" style="0" width="9"/>
  </cols>
  <sheetData>
    <row r="5" customFormat="false" ht="15" hidden="false" customHeight="false" outlineLevel="0" collapsed="false">
      <c r="B5" s="83" t="s">
        <v>27</v>
      </c>
      <c r="C5" s="83"/>
      <c r="D5" s="83"/>
      <c r="E5" s="83"/>
    </row>
    <row r="6" customFormat="false" ht="15" hidden="false" customHeight="false" outlineLevel="0" collapsed="false">
      <c r="B6" s="0" t="s">
        <v>45</v>
      </c>
      <c r="C6" s="2" t="s">
        <v>24</v>
      </c>
      <c r="K6" s="84" t="str">
        <f aca="false">B5</f>
        <v>CERES</v>
      </c>
    </row>
    <row r="7" customFormat="false" ht="15" hidden="false" customHeight="false" outlineLevel="0" collapsed="false">
      <c r="B7" s="0" t="s">
        <v>46</v>
      </c>
      <c r="D7" s="0" t="s">
        <v>47</v>
      </c>
      <c r="E7" s="18" t="n">
        <v>370.27</v>
      </c>
      <c r="J7" s="78" t="n">
        <v>43466</v>
      </c>
      <c r="K7" s="106" t="n">
        <v>1299</v>
      </c>
    </row>
    <row r="8" customFormat="false" ht="15" hidden="false" customHeight="false" outlineLevel="0" collapsed="false">
      <c r="B8" s="0" t="s">
        <v>48</v>
      </c>
      <c r="E8" s="18" t="s">
        <v>117</v>
      </c>
      <c r="J8" s="78" t="n">
        <v>43497</v>
      </c>
      <c r="K8" s="106" t="n">
        <v>2271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K20*12</f>
        <v>30497</v>
      </c>
      <c r="J9" s="78" t="n">
        <v>43525</v>
      </c>
      <c r="K9" s="106" t="n">
        <v>2106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5.23</v>
      </c>
      <c r="J10" s="78" t="n">
        <v>43556</v>
      </c>
      <c r="K10" s="106" t="n">
        <v>2722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0.75</v>
      </c>
      <c r="J11" s="78" t="n">
        <v>43586</v>
      </c>
      <c r="K11" s="106" t="n">
        <v>2457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1431.71</v>
      </c>
      <c r="J12" s="78" t="n">
        <v>43617</v>
      </c>
      <c r="K12" s="106" t="n">
        <v>2723</v>
      </c>
    </row>
    <row r="13" customFormat="false" ht="15" hidden="false" customHeight="false" outlineLevel="0" collapsed="false">
      <c r="J13" s="78" t="n">
        <v>43647</v>
      </c>
      <c r="K13" s="106" t="n">
        <v>1776</v>
      </c>
    </row>
    <row r="14" customFormat="false" ht="15" hidden="false" customHeight="false" outlineLevel="0" collapsed="false">
      <c r="J14" s="78" t="n">
        <v>43678</v>
      </c>
      <c r="K14" s="106" t="n">
        <v>2126</v>
      </c>
    </row>
    <row r="15" customFormat="false" ht="15" hidden="false" customHeight="false" outlineLevel="0" collapsed="false">
      <c r="B15" s="88" t="s">
        <v>60</v>
      </c>
      <c r="C15" s="88"/>
      <c r="D15" s="88"/>
      <c r="E15" s="88"/>
      <c r="J15" s="78" t="n">
        <v>43709</v>
      </c>
      <c r="K15" s="106" t="n">
        <v>3158</v>
      </c>
    </row>
    <row r="16" customFormat="false" ht="15" hidden="false" customHeight="false" outlineLevel="0" collapsed="false">
      <c r="J16" s="78" t="n">
        <v>43739</v>
      </c>
      <c r="K16" s="106" t="n">
        <v>3380</v>
      </c>
    </row>
    <row r="17" customFormat="false" ht="15" hidden="false" customHeight="false" outlineLevel="0" collapsed="false">
      <c r="B17" s="0" t="s">
        <v>61</v>
      </c>
      <c r="C17" s="0" t="s">
        <v>62</v>
      </c>
      <c r="D17" s="0" t="s">
        <v>63</v>
      </c>
      <c r="E17" s="89" t="n">
        <f aca="false">E9/E12</f>
        <v>21.3</v>
      </c>
      <c r="J17" s="78" t="n">
        <v>43770</v>
      </c>
      <c r="K17" s="106" t="n">
        <v>3519</v>
      </c>
    </row>
    <row r="18" customFormat="false" ht="15" hidden="false" customHeight="false" outlineLevel="0" collapsed="false">
      <c r="J18" s="78" t="n">
        <v>43800</v>
      </c>
      <c r="K18" s="106" t="n">
        <v>2960</v>
      </c>
    </row>
    <row r="19" customFormat="false" ht="15" hidden="false" customHeight="false" outlineLevel="0" collapsed="false">
      <c r="E19" s="18"/>
    </row>
    <row r="20" customFormat="false" ht="15" hidden="false" customHeight="false" outlineLevel="0" collapsed="false">
      <c r="B20" s="109" t="s">
        <v>65</v>
      </c>
      <c r="C20" s="110"/>
      <c r="D20" s="110" t="s">
        <v>66</v>
      </c>
      <c r="E20" s="111" t="n">
        <v>335</v>
      </c>
      <c r="J20" s="0" t="s">
        <v>39</v>
      </c>
      <c r="K20" s="0" t="n">
        <f aca="false">(SUM(K7:K18))/12</f>
        <v>2541.41666666667</v>
      </c>
    </row>
    <row r="21" customFormat="false" ht="15" hidden="false" customHeight="false" outlineLevel="0" collapsed="false">
      <c r="B21" s="91" t="s">
        <v>67</v>
      </c>
      <c r="C21" s="0" t="s">
        <v>68</v>
      </c>
      <c r="D21" s="0" t="s">
        <v>69</v>
      </c>
      <c r="E21" s="93" t="n">
        <f aca="false">(E17*1000)/E20</f>
        <v>63.58</v>
      </c>
    </row>
    <row r="22" customFormat="false" ht="15" hidden="false" customHeight="false" outlineLevel="0" collapsed="false">
      <c r="B22" s="91" t="s">
        <v>70</v>
      </c>
      <c r="D22" s="0" t="s">
        <v>47</v>
      </c>
      <c r="E22" s="93" t="n">
        <v>1.98</v>
      </c>
    </row>
    <row r="23" customFormat="false" ht="15" hidden="false" customHeight="false" outlineLevel="0" collapsed="false">
      <c r="B23" s="91" t="s">
        <v>71</v>
      </c>
      <c r="C23" s="0" t="s">
        <v>72</v>
      </c>
      <c r="D23" s="0" t="s">
        <v>47</v>
      </c>
      <c r="E23" s="93" t="n">
        <f aca="false">E21*E22</f>
        <v>125.89</v>
      </c>
    </row>
    <row r="24" customFormat="false" ht="15" hidden="false" customHeight="false" outlineLevel="0" collapsed="false">
      <c r="B24" s="91" t="s">
        <v>73</v>
      </c>
      <c r="D24" s="0" t="s">
        <v>74</v>
      </c>
      <c r="E24" s="93" t="n">
        <v>839</v>
      </c>
    </row>
    <row r="25" customFormat="false" ht="15" hidden="false" customHeight="false" outlineLevel="0" collapsed="false">
      <c r="B25" s="91"/>
      <c r="E25" s="97"/>
    </row>
    <row r="26" customFormat="false" ht="15" hidden="false" customHeight="false" outlineLevel="0" collapsed="false">
      <c r="B26" s="94" t="s">
        <v>75</v>
      </c>
      <c r="C26" s="95"/>
      <c r="D26" s="95" t="s">
        <v>74</v>
      </c>
      <c r="E26" s="96" t="n">
        <f aca="false">E24*E21</f>
        <v>53343.62</v>
      </c>
    </row>
    <row r="29" customFormat="false" ht="15" hidden="false" customHeight="false" outlineLevel="0" collapsed="false">
      <c r="B29" s="88" t="s">
        <v>77</v>
      </c>
      <c r="C29" s="88"/>
      <c r="D29" s="88"/>
      <c r="E29" s="88"/>
    </row>
    <row r="31" customFormat="false" ht="15" hidden="false" customHeight="false" outlineLevel="0" collapsed="false">
      <c r="B31" s="0" t="s">
        <v>78</v>
      </c>
      <c r="C31" s="0" t="s">
        <v>79</v>
      </c>
      <c r="D31" s="0" t="s">
        <v>47</v>
      </c>
      <c r="E31" s="89" t="n">
        <f aca="false">E7*0.8</f>
        <v>296.22</v>
      </c>
    </row>
    <row r="32" customFormat="false" ht="15" hidden="false" customHeight="false" outlineLevel="0" collapsed="false">
      <c r="E32" s="18"/>
    </row>
    <row r="33" customFormat="false" ht="15" hidden="false" customHeight="false" outlineLevel="0" collapsed="false">
      <c r="E33" s="18"/>
    </row>
    <row r="34" customFormat="false" ht="15" hidden="false" customHeight="false" outlineLevel="0" collapsed="false">
      <c r="B34" s="109" t="s">
        <v>70</v>
      </c>
      <c r="C34" s="110"/>
      <c r="D34" s="110" t="s">
        <v>47</v>
      </c>
      <c r="E34" s="111" t="n">
        <v>1.98</v>
      </c>
    </row>
    <row r="35" customFormat="false" ht="15" hidden="false" customHeight="false" outlineLevel="0" collapsed="false">
      <c r="B35" s="91" t="s">
        <v>67</v>
      </c>
      <c r="C35" s="0" t="s">
        <v>80</v>
      </c>
      <c r="D35" s="0" t="s">
        <v>69</v>
      </c>
      <c r="E35" s="98" t="n">
        <f aca="false">E31/E34</f>
        <v>149.61</v>
      </c>
    </row>
    <row r="36" customFormat="false" ht="15" hidden="false" customHeight="false" outlineLevel="0" collapsed="false">
      <c r="B36" s="91" t="s">
        <v>81</v>
      </c>
      <c r="D36" s="0" t="s">
        <v>69</v>
      </c>
      <c r="E36" s="98" t="n">
        <v>149</v>
      </c>
    </row>
    <row r="37" customFormat="false" ht="15" hidden="false" customHeight="false" outlineLevel="0" collapsed="false">
      <c r="B37" s="91" t="s">
        <v>65</v>
      </c>
      <c r="D37" s="0" t="s">
        <v>66</v>
      </c>
      <c r="E37" s="93" t="n">
        <v>335</v>
      </c>
    </row>
    <row r="38" customFormat="false" ht="15" hidden="false" customHeight="false" outlineLevel="0" collapsed="false">
      <c r="B38" s="91" t="s">
        <v>82</v>
      </c>
      <c r="C38" s="0" t="s">
        <v>83</v>
      </c>
      <c r="D38" s="0" t="s">
        <v>63</v>
      </c>
      <c r="E38" s="98" t="n">
        <f aca="false">(E36*E37)/1000</f>
        <v>49.92</v>
      </c>
    </row>
    <row r="39" customFormat="false" ht="15" hidden="false" customHeight="false" outlineLevel="0" collapsed="false">
      <c r="B39" s="91"/>
      <c r="E39" s="93"/>
    </row>
    <row r="40" customFormat="false" ht="15" hidden="false" customHeight="false" outlineLevel="0" collapsed="false">
      <c r="B40" s="91" t="s">
        <v>84</v>
      </c>
      <c r="C40" s="0" t="s">
        <v>85</v>
      </c>
      <c r="D40" s="0" t="s">
        <v>40</v>
      </c>
      <c r="E40" s="98" t="n">
        <f aca="false">E38*E12</f>
        <v>71470.96</v>
      </c>
    </row>
    <row r="41" customFormat="false" ht="15" hidden="false" customHeight="false" outlineLevel="0" collapsed="false">
      <c r="B41" s="91" t="s">
        <v>86</v>
      </c>
      <c r="C41" s="0" t="s">
        <v>51</v>
      </c>
      <c r="D41" s="0" t="s">
        <v>40</v>
      </c>
      <c r="E41" s="93" t="n">
        <f aca="false">K20*12</f>
        <v>30497</v>
      </c>
    </row>
    <row r="42" customFormat="false" ht="15" hidden="false" customHeight="false" outlineLevel="0" collapsed="false">
      <c r="B42" s="91"/>
      <c r="E42" s="93"/>
    </row>
    <row r="43" customFormat="false" ht="15" hidden="false" customHeight="false" outlineLevel="0" collapsed="false">
      <c r="B43" s="91" t="s">
        <v>87</v>
      </c>
      <c r="C43" s="0" t="s">
        <v>88</v>
      </c>
      <c r="D43" s="0" t="s">
        <v>89</v>
      </c>
      <c r="E43" s="100" t="n">
        <f aca="false">E41/E40</f>
        <v>0.43</v>
      </c>
    </row>
    <row r="44" customFormat="false" ht="15" hidden="false" customHeight="false" outlineLevel="0" collapsed="false">
      <c r="B44" s="91"/>
      <c r="E44" s="93"/>
    </row>
    <row r="45" customFormat="false" ht="15" hidden="false" customHeight="false" outlineLevel="0" collapsed="false">
      <c r="B45" s="91" t="s">
        <v>73</v>
      </c>
      <c r="D45" s="0" t="s">
        <v>74</v>
      </c>
      <c r="E45" s="93" t="n">
        <v>839</v>
      </c>
    </row>
    <row r="46" customFormat="false" ht="15" hidden="false" customHeight="false" outlineLevel="0" collapsed="false">
      <c r="B46" s="94" t="s">
        <v>75</v>
      </c>
      <c r="C46" s="95"/>
      <c r="D46" s="95" t="s">
        <v>74</v>
      </c>
      <c r="E46" s="101" t="n">
        <f aca="false">E45*E36</f>
        <v>125011</v>
      </c>
    </row>
    <row r="48" customFormat="false" ht="15" hidden="false" customHeight="false" outlineLevel="0" collapsed="false">
      <c r="B48" s="102" t="s">
        <v>90</v>
      </c>
      <c r="C48" s="102"/>
      <c r="D48" s="102"/>
      <c r="E48" s="102"/>
    </row>
    <row r="50" customFormat="false" ht="15" hidden="false" customHeight="false" outlineLevel="0" collapsed="false">
      <c r="B50" s="0" t="s">
        <v>91</v>
      </c>
      <c r="D50" s="0" t="s">
        <v>63</v>
      </c>
      <c r="E50" s="103" t="n">
        <v>30</v>
      </c>
    </row>
    <row r="51" customFormat="false" ht="15" hidden="false" customHeight="false" outlineLevel="0" collapsed="false">
      <c r="D51" s="0" t="s">
        <v>92</v>
      </c>
      <c r="E51" s="93" t="n">
        <v>21339</v>
      </c>
    </row>
    <row r="53" customFormat="false" ht="15" hidden="false" customHeight="false" outlineLevel="0" collapsed="false">
      <c r="B53" s="102" t="s">
        <v>93</v>
      </c>
      <c r="C53" s="102"/>
      <c r="D53" s="102"/>
      <c r="E53" s="102"/>
    </row>
    <row r="55" customFormat="false" ht="15" hidden="false" customHeight="false" outlineLevel="0" collapsed="false">
      <c r="B55" s="0" t="s">
        <v>91</v>
      </c>
      <c r="D55" s="0" t="s">
        <v>63</v>
      </c>
      <c r="E55" s="103" t="n">
        <v>22.5</v>
      </c>
    </row>
    <row r="56" customFormat="false" ht="15" hidden="false" customHeight="false" outlineLevel="0" collapsed="false">
      <c r="D56" s="0" t="s">
        <v>92</v>
      </c>
      <c r="E56" s="93" t="n">
        <v>20989</v>
      </c>
    </row>
    <row r="58" customFormat="false" ht="15" hidden="false" customHeight="false" outlineLevel="0" collapsed="false">
      <c r="B58" s="102" t="s">
        <v>94</v>
      </c>
      <c r="C58" s="102"/>
      <c r="D58" s="102"/>
      <c r="E58" s="102"/>
    </row>
    <row r="60" customFormat="false" ht="15" hidden="false" customHeight="false" outlineLevel="0" collapsed="false">
      <c r="B60" s="0" t="s">
        <v>91</v>
      </c>
      <c r="D60" s="0" t="s">
        <v>63</v>
      </c>
      <c r="E60" s="103" t="n">
        <v>45</v>
      </c>
    </row>
    <row r="61" customFormat="false" ht="15" hidden="false" customHeight="false" outlineLevel="0" collapsed="false">
      <c r="D61" s="0" t="s">
        <v>92</v>
      </c>
      <c r="E61" s="93" t="n">
        <v>29229</v>
      </c>
    </row>
    <row r="63" customFormat="false" ht="15" hidden="false" customHeight="false" outlineLevel="0" collapsed="false">
      <c r="B63" s="88" t="s">
        <v>95</v>
      </c>
      <c r="C63" s="88"/>
      <c r="D63" s="88"/>
      <c r="E63" s="88"/>
    </row>
    <row r="64" customFormat="false" ht="15" hidden="false" customHeight="false" outlineLevel="0" collapsed="false">
      <c r="C64" s="2" t="s">
        <v>96</v>
      </c>
    </row>
    <row r="65" customFormat="false" ht="15" hidden="false" customHeight="false" outlineLevel="0" collapsed="false">
      <c r="B65" s="0" t="s">
        <v>97</v>
      </c>
      <c r="C65" s="2" t="n">
        <v>2</v>
      </c>
      <c r="D65" s="0" t="s">
        <v>63</v>
      </c>
      <c r="E65" s="89" t="n">
        <f aca="false">C65*E55</f>
        <v>45</v>
      </c>
    </row>
    <row r="66" customFormat="false" ht="15" hidden="false" customHeight="false" outlineLevel="0" collapsed="false">
      <c r="E66" s="18"/>
    </row>
    <row r="68" customFormat="false" ht="15" hidden="false" customHeight="false" outlineLevel="0" collapsed="false">
      <c r="B68" s="109" t="s">
        <v>65</v>
      </c>
      <c r="C68" s="110"/>
      <c r="D68" s="110" t="s">
        <v>66</v>
      </c>
      <c r="E68" s="111" t="n">
        <v>335</v>
      </c>
    </row>
    <row r="69" customFormat="false" ht="15" hidden="false" customHeight="false" outlineLevel="0" collapsed="false">
      <c r="B69" s="91" t="s">
        <v>67</v>
      </c>
      <c r="C69" s="0" t="s">
        <v>103</v>
      </c>
      <c r="D69" s="0" t="s">
        <v>69</v>
      </c>
      <c r="E69" s="98" t="n">
        <f aca="false">(E65/E68)*1000</f>
        <v>134.33</v>
      </c>
    </row>
    <row r="70" customFormat="false" ht="15" hidden="false" customHeight="false" outlineLevel="0" collapsed="false">
      <c r="B70" s="91" t="s">
        <v>81</v>
      </c>
      <c r="D70" s="0" t="s">
        <v>69</v>
      </c>
      <c r="E70" s="98" t="n">
        <v>134</v>
      </c>
    </row>
    <row r="71" customFormat="false" ht="15" hidden="false" customHeight="false" outlineLevel="0" collapsed="false">
      <c r="B71" s="91" t="s">
        <v>70</v>
      </c>
      <c r="D71" s="0" t="s">
        <v>47</v>
      </c>
      <c r="E71" s="93" t="n">
        <v>1.98</v>
      </c>
    </row>
    <row r="72" customFormat="false" ht="15" hidden="false" customHeight="false" outlineLevel="0" collapsed="false">
      <c r="B72" s="91" t="s">
        <v>99</v>
      </c>
      <c r="C72" s="0" t="s">
        <v>72</v>
      </c>
      <c r="D72" s="0" t="s">
        <v>47</v>
      </c>
      <c r="E72" s="98" t="n">
        <f aca="false">E71*E70</f>
        <v>265.32</v>
      </c>
    </row>
    <row r="73" customFormat="false" ht="15" hidden="false" customHeight="false" outlineLevel="0" collapsed="false">
      <c r="B73" s="91" t="s">
        <v>99</v>
      </c>
      <c r="D73" s="41" t="s">
        <v>89</v>
      </c>
      <c r="E73" s="100" t="n">
        <f aca="false">E72/E7</f>
        <v>0.72</v>
      </c>
    </row>
    <row r="74" customFormat="false" ht="15" hidden="false" customHeight="false" outlineLevel="0" collapsed="false">
      <c r="B74" s="91"/>
      <c r="D74" s="41"/>
      <c r="E74" s="100"/>
    </row>
    <row r="75" customFormat="false" ht="15" hidden="false" customHeight="false" outlineLevel="0" collapsed="false">
      <c r="B75" s="91" t="s">
        <v>82</v>
      </c>
      <c r="C75" s="0" t="s">
        <v>83</v>
      </c>
      <c r="D75" s="0" t="s">
        <v>63</v>
      </c>
      <c r="E75" s="93" t="n">
        <f aca="false">E70*E68/1000</f>
        <v>44.89</v>
      </c>
    </row>
    <row r="76" customFormat="false" ht="15" hidden="false" customHeight="false" outlineLevel="0" collapsed="false">
      <c r="B76" s="91" t="s">
        <v>84</v>
      </c>
      <c r="C76" s="0" t="s">
        <v>85</v>
      </c>
      <c r="D76" s="0" t="s">
        <v>40</v>
      </c>
      <c r="E76" s="98" t="n">
        <f aca="false">E70*E68*E12/1000</f>
        <v>64269.46</v>
      </c>
    </row>
    <row r="77" customFormat="false" ht="15" hidden="false" customHeight="false" outlineLevel="0" collapsed="false">
      <c r="B77" s="91" t="s">
        <v>86</v>
      </c>
      <c r="C77" s="0" t="s">
        <v>51</v>
      </c>
      <c r="D77" s="0" t="s">
        <v>40</v>
      </c>
      <c r="E77" s="93" t="n">
        <f aca="false">K20*12</f>
        <v>30497</v>
      </c>
    </row>
    <row r="78" customFormat="false" ht="15" hidden="false" customHeight="false" outlineLevel="0" collapsed="false">
      <c r="B78" s="91"/>
      <c r="E78" s="93"/>
    </row>
    <row r="79" customFormat="false" ht="15" hidden="false" customHeight="false" outlineLevel="0" collapsed="false">
      <c r="B79" s="91" t="s">
        <v>87</v>
      </c>
      <c r="C79" s="0" t="s">
        <v>88</v>
      </c>
      <c r="D79" s="0" t="s">
        <v>89</v>
      </c>
      <c r="E79" s="104" t="n">
        <f aca="false">E77/E76</f>
        <v>0.4745</v>
      </c>
      <c r="F79" s="112" t="n">
        <f aca="false">1-E79</f>
        <v>0.5255</v>
      </c>
    </row>
    <row r="80" customFormat="false" ht="15" hidden="false" customHeight="false" outlineLevel="0" collapsed="false">
      <c r="B80" s="91"/>
      <c r="E80" s="93"/>
    </row>
    <row r="81" customFormat="false" ht="15" hidden="false" customHeight="false" outlineLevel="0" collapsed="false">
      <c r="B81" s="91" t="s">
        <v>73</v>
      </c>
      <c r="D81" s="0" t="s">
        <v>74</v>
      </c>
      <c r="E81" s="93" t="n">
        <v>839</v>
      </c>
    </row>
    <row r="82" customFormat="false" ht="15" hidden="false" customHeight="false" outlineLevel="0" collapsed="false">
      <c r="B82" s="91" t="s">
        <v>75</v>
      </c>
      <c r="D82" s="0" t="s">
        <v>74</v>
      </c>
      <c r="E82" s="98" t="n">
        <f aca="false">E70*E81</f>
        <v>112426</v>
      </c>
    </row>
    <row r="83" customFormat="false" ht="15" hidden="false" customHeight="false" outlineLevel="0" collapsed="false">
      <c r="B83" s="91" t="s">
        <v>101</v>
      </c>
      <c r="D83" s="0" t="s">
        <v>74</v>
      </c>
      <c r="E83" s="98" t="n">
        <f aca="false">C65*E56</f>
        <v>41978</v>
      </c>
    </row>
    <row r="84" customFormat="false" ht="15" hidden="false" customHeight="false" outlineLevel="0" collapsed="false">
      <c r="B84" s="94" t="s">
        <v>102</v>
      </c>
      <c r="C84" s="95"/>
      <c r="D84" s="95" t="s">
        <v>74</v>
      </c>
      <c r="E84" s="101" t="n">
        <f aca="false">SUM(E82:E83)</f>
        <v>154404</v>
      </c>
    </row>
    <row r="142" customFormat="false" ht="15" hidden="false" customHeight="false" outlineLevel="0" collapsed="false">
      <c r="G142" s="112" t="n">
        <f aca="false">1-E79</f>
        <v>0.5255</v>
      </c>
    </row>
  </sheetData>
  <mergeCells count="7">
    <mergeCell ref="B5:E5"/>
    <mergeCell ref="B15:E15"/>
    <mergeCell ref="B29:E29"/>
    <mergeCell ref="B48:E48"/>
    <mergeCell ref="B53:E53"/>
    <mergeCell ref="B58:E58"/>
    <mergeCell ref="B63:E63"/>
  </mergeCells>
  <printOptions headings="false" gridLines="false" gridLinesSet="true" horizontalCentered="false" verticalCentered="false"/>
  <pageMargins left="0.511805555555555" right="0.511805555555555" top="1.18125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L144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J19" activeCellId="0" sqref="J1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34"/>
    <col collapsed="false" customWidth="true" hidden="false" outlineLevel="0" max="3" min="3" style="0" width="48.86"/>
    <col collapsed="false" customWidth="true" hidden="false" outlineLevel="0" max="4" min="4" style="0" width="12.42"/>
    <col collapsed="false" customWidth="true" hidden="false" outlineLevel="0" max="5" min="5" style="0" width="16.42"/>
    <col collapsed="false" customWidth="true" hidden="false" outlineLevel="0" max="10" min="6" style="0" width="9"/>
    <col collapsed="false" customWidth="true" hidden="false" outlineLevel="0" max="11" min="11" style="0" width="15.15"/>
    <col collapsed="false" customWidth="true" hidden="false" outlineLevel="0" max="64" min="12" style="0" width="9"/>
  </cols>
  <sheetData>
    <row r="5" customFormat="false" ht="15" hidden="false" customHeight="false" outlineLevel="0" collapsed="false">
      <c r="B5" s="83" t="s">
        <v>118</v>
      </c>
      <c r="C5" s="83"/>
      <c r="D5" s="83"/>
      <c r="E5" s="83"/>
    </row>
    <row r="6" customFormat="false" ht="15" hidden="false" customHeight="false" outlineLevel="0" collapsed="false">
      <c r="B6" s="0" t="s">
        <v>45</v>
      </c>
      <c r="C6" s="2" t="s">
        <v>24</v>
      </c>
      <c r="K6" s="84" t="s">
        <v>118</v>
      </c>
    </row>
    <row r="7" customFormat="false" ht="15" hidden="false" customHeight="false" outlineLevel="0" collapsed="false">
      <c r="B7" s="0" t="s">
        <v>46</v>
      </c>
      <c r="D7" s="0" t="s">
        <v>47</v>
      </c>
      <c r="E7" s="18" t="n">
        <v>324.99</v>
      </c>
      <c r="J7" s="78" t="n">
        <v>43101</v>
      </c>
      <c r="K7" s="106" t="n">
        <v>1789</v>
      </c>
      <c r="L7" s="0" t="n">
        <v>1632</v>
      </c>
    </row>
    <row r="8" customFormat="false" ht="15" hidden="false" customHeight="false" outlineLevel="0" collapsed="false">
      <c r="B8" s="0" t="s">
        <v>48</v>
      </c>
      <c r="E8" s="18" t="s">
        <v>119</v>
      </c>
      <c r="J8" s="78" t="n">
        <v>43132</v>
      </c>
      <c r="K8" s="106" t="n">
        <v>2329</v>
      </c>
      <c r="L8" s="0" t="n">
        <v>2304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K20*12</f>
        <v>22962</v>
      </c>
      <c r="J9" s="78" t="n">
        <v>43160</v>
      </c>
      <c r="K9" s="106" t="n">
        <v>2678</v>
      </c>
      <c r="L9" s="0" t="n">
        <v>1583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5.45</v>
      </c>
      <c r="J10" s="78" t="n">
        <v>43191</v>
      </c>
      <c r="K10" s="106" t="n">
        <v>2354</v>
      </c>
      <c r="L10" s="0" t="n">
        <v>1722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0.75</v>
      </c>
      <c r="J11" s="78" t="n">
        <v>43221</v>
      </c>
      <c r="K11" s="106" t="n">
        <v>1631</v>
      </c>
      <c r="L11" s="0" t="n">
        <v>1936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1491.94</v>
      </c>
      <c r="J12" s="78" t="n">
        <v>43252</v>
      </c>
      <c r="K12" s="106" t="n">
        <v>1725</v>
      </c>
      <c r="L12" s="0" t="n">
        <v>1579</v>
      </c>
    </row>
    <row r="13" customFormat="false" ht="15" hidden="false" customHeight="false" outlineLevel="0" collapsed="false">
      <c r="J13" s="78" t="n">
        <v>43282</v>
      </c>
      <c r="K13" s="106" t="n">
        <v>1500</v>
      </c>
      <c r="L13" s="0" t="n">
        <v>535</v>
      </c>
    </row>
    <row r="14" customFormat="false" ht="15" hidden="false" customHeight="false" outlineLevel="0" collapsed="false">
      <c r="J14" s="78" t="n">
        <v>43313</v>
      </c>
      <c r="K14" s="106" t="n">
        <v>1681</v>
      </c>
      <c r="L14" s="0" t="n">
        <v>165</v>
      </c>
    </row>
    <row r="15" customFormat="false" ht="15" hidden="false" customHeight="false" outlineLevel="0" collapsed="false">
      <c r="B15" s="88" t="s">
        <v>60</v>
      </c>
      <c r="C15" s="88"/>
      <c r="D15" s="88"/>
      <c r="E15" s="88"/>
      <c r="J15" s="78" t="n">
        <v>43344</v>
      </c>
      <c r="K15" s="106" t="n">
        <v>1619</v>
      </c>
      <c r="L15" s="0" t="n">
        <v>242</v>
      </c>
    </row>
    <row r="16" customFormat="false" ht="15" hidden="false" customHeight="false" outlineLevel="0" collapsed="false">
      <c r="J16" s="78" t="n">
        <v>43374</v>
      </c>
      <c r="K16" s="106" t="n">
        <v>2267</v>
      </c>
      <c r="L16" s="0" t="n">
        <v>347</v>
      </c>
    </row>
    <row r="17" customFormat="false" ht="15" hidden="false" customHeight="false" outlineLevel="0" collapsed="false">
      <c r="B17" s="0" t="s">
        <v>61</v>
      </c>
      <c r="C17" s="0" t="s">
        <v>62</v>
      </c>
      <c r="D17" s="0" t="s">
        <v>63</v>
      </c>
      <c r="E17" s="89" t="n">
        <f aca="false">E9/E12</f>
        <v>15.39</v>
      </c>
      <c r="J17" s="78" t="n">
        <v>43405</v>
      </c>
      <c r="K17" s="106" t="n">
        <v>1636</v>
      </c>
      <c r="L17" s="0" t="n">
        <v>233</v>
      </c>
    </row>
    <row r="18" customFormat="false" ht="15" hidden="false" customHeight="false" outlineLevel="0" collapsed="false">
      <c r="J18" s="78" t="n">
        <v>43435</v>
      </c>
      <c r="K18" s="106" t="n">
        <v>1753</v>
      </c>
      <c r="L18" s="0" t="n">
        <v>1169.25</v>
      </c>
    </row>
    <row r="19" customFormat="false" ht="15" hidden="false" customHeight="false" outlineLevel="0" collapsed="false">
      <c r="E19" s="18"/>
      <c r="K19" s="31" t="n">
        <f aca="false">SUM(K7:K18)</f>
        <v>22962</v>
      </c>
      <c r="L19" s="31" t="n">
        <f aca="false">SUM(L7:L18)</f>
        <v>13447</v>
      </c>
    </row>
    <row r="20" customFormat="false" ht="15" hidden="false" customHeight="false" outlineLevel="0" collapsed="false">
      <c r="B20" s="109" t="s">
        <v>65</v>
      </c>
      <c r="C20" s="110"/>
      <c r="D20" s="110" t="s">
        <v>66</v>
      </c>
      <c r="E20" s="111" t="n">
        <v>335</v>
      </c>
      <c r="J20" s="0" t="s">
        <v>39</v>
      </c>
      <c r="K20" s="0" t="n">
        <f aca="false">(SUM(K7:K18))/12</f>
        <v>1913.5</v>
      </c>
    </row>
    <row r="21" customFormat="false" ht="15" hidden="false" customHeight="false" outlineLevel="0" collapsed="false">
      <c r="B21" s="91" t="s">
        <v>67</v>
      </c>
      <c r="C21" s="0" t="s">
        <v>68</v>
      </c>
      <c r="D21" s="0" t="s">
        <v>69</v>
      </c>
      <c r="E21" s="93" t="n">
        <f aca="false">(E17*1000)/E20</f>
        <v>45.94</v>
      </c>
    </row>
    <row r="22" customFormat="false" ht="15" hidden="false" customHeight="false" outlineLevel="0" collapsed="false">
      <c r="B22" s="91" t="s">
        <v>70</v>
      </c>
      <c r="D22" s="0" t="s">
        <v>47</v>
      </c>
      <c r="E22" s="93" t="n">
        <v>1.98</v>
      </c>
    </row>
    <row r="23" customFormat="false" ht="15" hidden="false" customHeight="false" outlineLevel="0" collapsed="false">
      <c r="B23" s="91" t="s">
        <v>71</v>
      </c>
      <c r="C23" s="0" t="s">
        <v>72</v>
      </c>
      <c r="D23" s="0" t="s">
        <v>47</v>
      </c>
      <c r="E23" s="93" t="n">
        <f aca="false">E21*E22</f>
        <v>90.96</v>
      </c>
    </row>
    <row r="24" customFormat="false" ht="15" hidden="false" customHeight="false" outlineLevel="0" collapsed="false">
      <c r="B24" s="91" t="s">
        <v>73</v>
      </c>
      <c r="D24" s="0" t="s">
        <v>74</v>
      </c>
      <c r="E24" s="93" t="n">
        <v>899</v>
      </c>
    </row>
    <row r="25" customFormat="false" ht="15" hidden="false" customHeight="false" outlineLevel="0" collapsed="false">
      <c r="B25" s="91"/>
      <c r="E25" s="97"/>
    </row>
    <row r="26" customFormat="false" ht="15" hidden="false" customHeight="false" outlineLevel="0" collapsed="false">
      <c r="B26" s="94" t="s">
        <v>75</v>
      </c>
      <c r="C26" s="95"/>
      <c r="D26" s="95" t="s">
        <v>74</v>
      </c>
      <c r="E26" s="96" t="n">
        <f aca="false">E24*E21</f>
        <v>41300.06</v>
      </c>
    </row>
    <row r="29" customFormat="false" ht="15" hidden="false" customHeight="false" outlineLevel="0" collapsed="false">
      <c r="B29" s="88" t="s">
        <v>77</v>
      </c>
      <c r="C29" s="88"/>
      <c r="D29" s="88"/>
      <c r="E29" s="88"/>
    </row>
    <row r="31" customFormat="false" ht="15" hidden="false" customHeight="false" outlineLevel="0" collapsed="false">
      <c r="B31" s="0" t="s">
        <v>78</v>
      </c>
      <c r="C31" s="0" t="s">
        <v>79</v>
      </c>
      <c r="D31" s="0" t="s">
        <v>47</v>
      </c>
      <c r="E31" s="89" t="n">
        <f aca="false">E7*0.8</f>
        <v>259.99</v>
      </c>
    </row>
    <row r="32" customFormat="false" ht="15" hidden="false" customHeight="false" outlineLevel="0" collapsed="false">
      <c r="E32" s="18"/>
    </row>
    <row r="33" customFormat="false" ht="15" hidden="false" customHeight="false" outlineLevel="0" collapsed="false">
      <c r="E33" s="18"/>
    </row>
    <row r="34" customFormat="false" ht="15" hidden="false" customHeight="false" outlineLevel="0" collapsed="false">
      <c r="B34" s="109" t="s">
        <v>70</v>
      </c>
      <c r="C34" s="110"/>
      <c r="D34" s="110" t="s">
        <v>47</v>
      </c>
      <c r="E34" s="111" t="n">
        <v>1.98</v>
      </c>
    </row>
    <row r="35" customFormat="false" ht="15" hidden="false" customHeight="false" outlineLevel="0" collapsed="false">
      <c r="B35" s="91" t="s">
        <v>67</v>
      </c>
      <c r="C35" s="0" t="s">
        <v>80</v>
      </c>
      <c r="D35" s="0" t="s">
        <v>69</v>
      </c>
      <c r="E35" s="98" t="n">
        <f aca="false">E31/E34</f>
        <v>131.31</v>
      </c>
    </row>
    <row r="36" customFormat="false" ht="15" hidden="false" customHeight="false" outlineLevel="0" collapsed="false">
      <c r="B36" s="91" t="s">
        <v>81</v>
      </c>
      <c r="D36" s="0" t="s">
        <v>69</v>
      </c>
      <c r="E36" s="98" t="n">
        <v>131</v>
      </c>
    </row>
    <row r="37" customFormat="false" ht="15" hidden="false" customHeight="false" outlineLevel="0" collapsed="false">
      <c r="B37" s="91" t="s">
        <v>65</v>
      </c>
      <c r="D37" s="0" t="s">
        <v>66</v>
      </c>
      <c r="E37" s="93" t="n">
        <v>335</v>
      </c>
    </row>
    <row r="38" customFormat="false" ht="15" hidden="false" customHeight="false" outlineLevel="0" collapsed="false">
      <c r="B38" s="91" t="s">
        <v>82</v>
      </c>
      <c r="C38" s="0" t="s">
        <v>83</v>
      </c>
      <c r="D38" s="0" t="s">
        <v>63</v>
      </c>
      <c r="E38" s="98" t="n">
        <f aca="false">(E36*E37)/1000</f>
        <v>43.89</v>
      </c>
    </row>
    <row r="39" customFormat="false" ht="15" hidden="false" customHeight="false" outlineLevel="0" collapsed="false">
      <c r="B39" s="91"/>
      <c r="E39" s="93"/>
    </row>
    <row r="40" customFormat="false" ht="15" hidden="false" customHeight="false" outlineLevel="0" collapsed="false">
      <c r="B40" s="91" t="s">
        <v>84</v>
      </c>
      <c r="C40" s="0" t="s">
        <v>85</v>
      </c>
      <c r="D40" s="0" t="s">
        <v>40</v>
      </c>
      <c r="E40" s="98" t="n">
        <f aca="false">E38*E12</f>
        <v>65481.25</v>
      </c>
    </row>
    <row r="41" customFormat="false" ht="15" hidden="false" customHeight="false" outlineLevel="0" collapsed="false">
      <c r="B41" s="91" t="s">
        <v>86</v>
      </c>
      <c r="C41" s="0" t="s">
        <v>51</v>
      </c>
      <c r="D41" s="0" t="s">
        <v>40</v>
      </c>
      <c r="E41" s="93" t="n">
        <f aca="false">K20*12</f>
        <v>22962</v>
      </c>
    </row>
    <row r="42" customFormat="false" ht="15" hidden="false" customHeight="false" outlineLevel="0" collapsed="false">
      <c r="B42" s="91"/>
      <c r="E42" s="93"/>
    </row>
    <row r="43" customFormat="false" ht="15" hidden="false" customHeight="false" outlineLevel="0" collapsed="false">
      <c r="B43" s="91" t="s">
        <v>87</v>
      </c>
      <c r="C43" s="0" t="s">
        <v>88</v>
      </c>
      <c r="D43" s="0" t="s">
        <v>89</v>
      </c>
      <c r="E43" s="100" t="n">
        <f aca="false">E41/E40</f>
        <v>0.35</v>
      </c>
    </row>
    <row r="44" customFormat="false" ht="15" hidden="false" customHeight="false" outlineLevel="0" collapsed="false">
      <c r="B44" s="91"/>
      <c r="E44" s="93"/>
    </row>
    <row r="45" customFormat="false" ht="15" hidden="false" customHeight="false" outlineLevel="0" collapsed="false">
      <c r="B45" s="91" t="s">
        <v>73</v>
      </c>
      <c r="D45" s="0" t="s">
        <v>74</v>
      </c>
      <c r="E45" s="93" t="n">
        <v>839</v>
      </c>
    </row>
    <row r="46" customFormat="false" ht="15" hidden="false" customHeight="false" outlineLevel="0" collapsed="false">
      <c r="B46" s="94" t="s">
        <v>75</v>
      </c>
      <c r="C46" s="95"/>
      <c r="D46" s="95" t="s">
        <v>74</v>
      </c>
      <c r="E46" s="101" t="n">
        <f aca="false">E45*E36</f>
        <v>109909</v>
      </c>
    </row>
    <row r="48" customFormat="false" ht="15" hidden="false" customHeight="false" outlineLevel="0" collapsed="false">
      <c r="B48" s="102" t="s">
        <v>90</v>
      </c>
      <c r="C48" s="102"/>
      <c r="D48" s="102"/>
      <c r="E48" s="102"/>
    </row>
    <row r="50" customFormat="false" ht="15" hidden="false" customHeight="false" outlineLevel="0" collapsed="false">
      <c r="B50" s="0" t="s">
        <v>91</v>
      </c>
      <c r="D50" s="0" t="s">
        <v>63</v>
      </c>
      <c r="E50" s="103" t="n">
        <v>30</v>
      </c>
    </row>
    <row r="51" customFormat="false" ht="15" hidden="false" customHeight="false" outlineLevel="0" collapsed="false">
      <c r="D51" s="0" t="s">
        <v>92</v>
      </c>
      <c r="E51" s="93" t="n">
        <v>21339</v>
      </c>
    </row>
    <row r="53" customFormat="false" ht="15" hidden="false" customHeight="false" outlineLevel="0" collapsed="false">
      <c r="B53" s="102" t="s">
        <v>93</v>
      </c>
      <c r="C53" s="102"/>
      <c r="D53" s="102"/>
      <c r="E53" s="102"/>
    </row>
    <row r="55" customFormat="false" ht="15" hidden="false" customHeight="false" outlineLevel="0" collapsed="false">
      <c r="B55" s="0" t="s">
        <v>91</v>
      </c>
      <c r="D55" s="0" t="s">
        <v>63</v>
      </c>
      <c r="E55" s="103" t="n">
        <v>22.5</v>
      </c>
    </row>
    <row r="56" customFormat="false" ht="15" hidden="false" customHeight="false" outlineLevel="0" collapsed="false">
      <c r="D56" s="0" t="s">
        <v>92</v>
      </c>
      <c r="E56" s="93" t="n">
        <v>20989</v>
      </c>
    </row>
    <row r="58" customFormat="false" ht="15" hidden="false" customHeight="false" outlineLevel="0" collapsed="false">
      <c r="B58" s="102" t="s">
        <v>94</v>
      </c>
      <c r="C58" s="102"/>
      <c r="D58" s="102"/>
      <c r="E58" s="102"/>
    </row>
    <row r="60" customFormat="false" ht="15" hidden="false" customHeight="false" outlineLevel="0" collapsed="false">
      <c r="B60" s="0" t="s">
        <v>91</v>
      </c>
      <c r="D60" s="0" t="s">
        <v>63</v>
      </c>
      <c r="E60" s="103" t="n">
        <v>45</v>
      </c>
    </row>
    <row r="61" customFormat="false" ht="15" hidden="false" customHeight="false" outlineLevel="0" collapsed="false">
      <c r="D61" s="0" t="s">
        <v>92</v>
      </c>
      <c r="E61" s="93" t="n">
        <v>29229</v>
      </c>
    </row>
    <row r="63" customFormat="false" ht="15" hidden="false" customHeight="false" outlineLevel="0" collapsed="false">
      <c r="B63" s="88" t="s">
        <v>95</v>
      </c>
      <c r="C63" s="88"/>
      <c r="D63" s="88"/>
      <c r="E63" s="88"/>
    </row>
    <row r="64" customFormat="false" ht="15" hidden="false" customHeight="false" outlineLevel="0" collapsed="false">
      <c r="C64" s="2" t="s">
        <v>96</v>
      </c>
    </row>
    <row r="65" customFormat="false" ht="15" hidden="false" customHeight="false" outlineLevel="0" collapsed="false">
      <c r="B65" s="0" t="s">
        <v>97</v>
      </c>
      <c r="C65" s="2" t="n">
        <v>2</v>
      </c>
      <c r="D65" s="0" t="s">
        <v>63</v>
      </c>
      <c r="E65" s="89" t="n">
        <f aca="false">C65*E55</f>
        <v>45</v>
      </c>
    </row>
    <row r="66" customFormat="false" ht="15" hidden="false" customHeight="false" outlineLevel="0" collapsed="false">
      <c r="E66" s="18"/>
    </row>
    <row r="68" customFormat="false" ht="15" hidden="false" customHeight="false" outlineLevel="0" collapsed="false">
      <c r="B68" s="109" t="s">
        <v>65</v>
      </c>
      <c r="C68" s="110"/>
      <c r="D68" s="110" t="s">
        <v>66</v>
      </c>
      <c r="E68" s="111" t="n">
        <v>335</v>
      </c>
    </row>
    <row r="69" customFormat="false" ht="15" hidden="false" customHeight="false" outlineLevel="0" collapsed="false">
      <c r="B69" s="91" t="s">
        <v>67</v>
      </c>
      <c r="C69" s="0" t="s">
        <v>103</v>
      </c>
      <c r="D69" s="0" t="s">
        <v>69</v>
      </c>
      <c r="E69" s="98" t="n">
        <f aca="false">(E65/E68)*1000</f>
        <v>134.33</v>
      </c>
    </row>
    <row r="70" customFormat="false" ht="15" hidden="false" customHeight="false" outlineLevel="0" collapsed="false">
      <c r="B70" s="91" t="s">
        <v>81</v>
      </c>
      <c r="D70" s="0" t="s">
        <v>69</v>
      </c>
      <c r="E70" s="98" t="n">
        <v>134</v>
      </c>
    </row>
    <row r="71" customFormat="false" ht="15" hidden="false" customHeight="false" outlineLevel="0" collapsed="false">
      <c r="B71" s="91" t="s">
        <v>70</v>
      </c>
      <c r="D71" s="0" t="s">
        <v>47</v>
      </c>
      <c r="E71" s="93" t="n">
        <v>1.98</v>
      </c>
    </row>
    <row r="72" customFormat="false" ht="15" hidden="false" customHeight="false" outlineLevel="0" collapsed="false">
      <c r="B72" s="91" t="s">
        <v>99</v>
      </c>
      <c r="C72" s="0" t="s">
        <v>72</v>
      </c>
      <c r="D72" s="0" t="s">
        <v>47</v>
      </c>
      <c r="E72" s="98" t="n">
        <f aca="false">E71*E70</f>
        <v>265.32</v>
      </c>
    </row>
    <row r="73" customFormat="false" ht="15" hidden="false" customHeight="false" outlineLevel="0" collapsed="false">
      <c r="B73" s="91" t="s">
        <v>99</v>
      </c>
      <c r="D73" s="41" t="s">
        <v>89</v>
      </c>
      <c r="E73" s="100" t="n">
        <f aca="false">E72/E7</f>
        <v>0.82</v>
      </c>
    </row>
    <row r="74" customFormat="false" ht="15" hidden="false" customHeight="false" outlineLevel="0" collapsed="false">
      <c r="B74" s="91"/>
      <c r="D74" s="41"/>
      <c r="E74" s="100"/>
    </row>
    <row r="75" customFormat="false" ht="15" hidden="false" customHeight="false" outlineLevel="0" collapsed="false">
      <c r="B75" s="91" t="s">
        <v>82</v>
      </c>
      <c r="C75" s="0" t="s">
        <v>83</v>
      </c>
      <c r="D75" s="0" t="s">
        <v>63</v>
      </c>
      <c r="E75" s="93" t="n">
        <f aca="false">E70*E68/1000</f>
        <v>44.89</v>
      </c>
    </row>
    <row r="76" customFormat="false" ht="15" hidden="false" customHeight="false" outlineLevel="0" collapsed="false">
      <c r="B76" s="91" t="s">
        <v>84</v>
      </c>
      <c r="C76" s="0" t="s">
        <v>85</v>
      </c>
      <c r="D76" s="0" t="s">
        <v>40</v>
      </c>
      <c r="E76" s="98" t="n">
        <f aca="false">E70*E68*E12/1000</f>
        <v>66973.19</v>
      </c>
    </row>
    <row r="77" customFormat="false" ht="15" hidden="false" customHeight="false" outlineLevel="0" collapsed="false">
      <c r="B77" s="91" t="s">
        <v>86</v>
      </c>
      <c r="C77" s="0" t="s">
        <v>51</v>
      </c>
      <c r="D77" s="0" t="s">
        <v>40</v>
      </c>
      <c r="E77" s="93" t="n">
        <f aca="false">K20*12</f>
        <v>22962</v>
      </c>
    </row>
    <row r="78" customFormat="false" ht="15" hidden="false" customHeight="false" outlineLevel="0" collapsed="false">
      <c r="B78" s="91"/>
      <c r="E78" s="93"/>
    </row>
    <row r="79" customFormat="false" ht="15" hidden="false" customHeight="false" outlineLevel="0" collapsed="false">
      <c r="B79" s="91" t="s">
        <v>87</v>
      </c>
      <c r="C79" s="0" t="s">
        <v>88</v>
      </c>
      <c r="D79" s="0" t="s">
        <v>89</v>
      </c>
      <c r="E79" s="104" t="n">
        <f aca="false">E77/E76</f>
        <v>0.3429</v>
      </c>
      <c r="F79" s="112" t="n">
        <f aca="false">1-E79</f>
        <v>0.6571</v>
      </c>
    </row>
    <row r="80" customFormat="false" ht="15" hidden="false" customHeight="false" outlineLevel="0" collapsed="false">
      <c r="B80" s="91"/>
      <c r="E80" s="93"/>
    </row>
    <row r="81" customFormat="false" ht="15" hidden="false" customHeight="false" outlineLevel="0" collapsed="false">
      <c r="B81" s="91" t="s">
        <v>73</v>
      </c>
      <c r="D81" s="0" t="s">
        <v>74</v>
      </c>
      <c r="E81" s="93" t="n">
        <v>839</v>
      </c>
    </row>
    <row r="82" customFormat="false" ht="15" hidden="false" customHeight="false" outlineLevel="0" collapsed="false">
      <c r="B82" s="91" t="s">
        <v>75</v>
      </c>
      <c r="D82" s="0" t="s">
        <v>74</v>
      </c>
      <c r="E82" s="98" t="n">
        <f aca="false">E70*E81</f>
        <v>112426</v>
      </c>
    </row>
    <row r="83" customFormat="false" ht="15" hidden="false" customHeight="false" outlineLevel="0" collapsed="false">
      <c r="B83" s="91" t="s">
        <v>101</v>
      </c>
      <c r="D83" s="0" t="s">
        <v>74</v>
      </c>
      <c r="E83" s="98" t="n">
        <f aca="false">C65*E56</f>
        <v>41978</v>
      </c>
    </row>
    <row r="84" customFormat="false" ht="15" hidden="false" customHeight="false" outlineLevel="0" collapsed="false">
      <c r="B84" s="94" t="s">
        <v>102</v>
      </c>
      <c r="C84" s="95"/>
      <c r="D84" s="95" t="s">
        <v>74</v>
      </c>
      <c r="E84" s="101" t="n">
        <f aca="false">SUM(E82:E83)</f>
        <v>154404</v>
      </c>
    </row>
    <row r="144" customFormat="false" ht="15" hidden="false" customHeight="false" outlineLevel="0" collapsed="false">
      <c r="G144" s="112" t="e">
        <f aca="false">1-#REF!</f>
        <v>#REF!</v>
      </c>
    </row>
  </sheetData>
  <mergeCells count="7">
    <mergeCell ref="B5:E5"/>
    <mergeCell ref="B15:E15"/>
    <mergeCell ref="B29:E29"/>
    <mergeCell ref="B48:E48"/>
    <mergeCell ref="B53:E53"/>
    <mergeCell ref="B58:E58"/>
    <mergeCell ref="B63:E63"/>
  </mergeCells>
  <printOptions headings="false" gridLines="false" gridLinesSet="true" horizontalCentered="false" verticalCentered="false"/>
  <pageMargins left="0.511805555555555" right="0.511805555555555" top="1.18125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K1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34"/>
    <col collapsed="false" customWidth="true" hidden="false" outlineLevel="0" max="3" min="3" style="0" width="48.86"/>
    <col collapsed="false" customWidth="true" hidden="false" outlineLevel="0" max="4" min="4" style="0" width="12.42"/>
    <col collapsed="false" customWidth="true" hidden="false" outlineLevel="0" max="5" min="5" style="0" width="19"/>
    <col collapsed="false" customWidth="true" hidden="false" outlineLevel="0" max="10" min="6" style="0" width="9"/>
    <col collapsed="false" customWidth="true" hidden="false" outlineLevel="0" max="11" min="11" style="0" width="15.15"/>
    <col collapsed="false" customWidth="true" hidden="false" outlineLevel="0" max="64" min="12" style="0" width="9"/>
  </cols>
  <sheetData>
    <row r="5" customFormat="false" ht="15" hidden="false" customHeight="false" outlineLevel="0" collapsed="false">
      <c r="B5" s="83" t="s">
        <v>120</v>
      </c>
      <c r="C5" s="83"/>
      <c r="D5" s="83"/>
      <c r="E5" s="83"/>
    </row>
    <row r="6" customFormat="false" ht="15" hidden="false" customHeight="false" outlineLevel="0" collapsed="false">
      <c r="B6" s="0" t="s">
        <v>45</v>
      </c>
      <c r="C6" s="2" t="s">
        <v>35</v>
      </c>
      <c r="K6" s="84" t="str">
        <f aca="false">B5</f>
        <v>GOIANÉSIA</v>
      </c>
    </row>
    <row r="7" customFormat="false" ht="15" hidden="false" customHeight="false" outlineLevel="0" collapsed="false">
      <c r="B7" s="0" t="s">
        <v>46</v>
      </c>
      <c r="D7" s="0" t="s">
        <v>47</v>
      </c>
      <c r="E7" s="18" t="n">
        <v>774.5</v>
      </c>
      <c r="J7" s="78" t="n">
        <v>43466</v>
      </c>
      <c r="K7" s="106" t="n">
        <v>1711.22</v>
      </c>
    </row>
    <row r="8" customFormat="false" ht="15" hidden="false" customHeight="false" outlineLevel="0" collapsed="false">
      <c r="B8" s="0" t="s">
        <v>48</v>
      </c>
      <c r="E8" s="18" t="s">
        <v>121</v>
      </c>
      <c r="J8" s="78" t="n">
        <v>43497</v>
      </c>
      <c r="K8" s="106" t="n">
        <v>2270.62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K20*12</f>
        <v>26792.03</v>
      </c>
      <c r="J9" s="78" t="n">
        <v>43525</v>
      </c>
      <c r="K9" s="106" t="n">
        <v>2153.45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5.26</v>
      </c>
      <c r="J10" s="78" t="n">
        <v>43556</v>
      </c>
      <c r="K10" s="106" t="n">
        <v>2237.34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0.75</v>
      </c>
      <c r="J11" s="78" t="n">
        <v>43586</v>
      </c>
      <c r="K11" s="106" t="n">
        <v>2328.73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1439.93</v>
      </c>
      <c r="J12" s="78" t="n">
        <v>43617</v>
      </c>
      <c r="K12" s="106" t="n">
        <v>2327.94</v>
      </c>
    </row>
    <row r="13" customFormat="false" ht="15" hidden="false" customHeight="false" outlineLevel="0" collapsed="false">
      <c r="J13" s="78" t="n">
        <v>43647</v>
      </c>
      <c r="K13" s="106" t="n">
        <v>1792.7</v>
      </c>
    </row>
    <row r="14" customFormat="false" ht="15" hidden="false" customHeight="false" outlineLevel="0" collapsed="false">
      <c r="J14" s="78" t="n">
        <v>43678</v>
      </c>
      <c r="K14" s="106" t="n">
        <v>1776.41</v>
      </c>
    </row>
    <row r="15" customFormat="false" ht="15" hidden="false" customHeight="false" outlineLevel="0" collapsed="false">
      <c r="B15" s="88" t="s">
        <v>60</v>
      </c>
      <c r="C15" s="88"/>
      <c r="D15" s="88"/>
      <c r="E15" s="88"/>
      <c r="J15" s="78" t="n">
        <v>43709</v>
      </c>
      <c r="K15" s="106" t="n">
        <v>2543.29</v>
      </c>
    </row>
    <row r="16" customFormat="false" ht="15" hidden="false" customHeight="false" outlineLevel="0" collapsed="false">
      <c r="J16" s="78" t="n">
        <v>43739</v>
      </c>
      <c r="K16" s="106" t="n">
        <v>2746.9</v>
      </c>
    </row>
    <row r="17" customFormat="false" ht="15" hidden="false" customHeight="false" outlineLevel="0" collapsed="false">
      <c r="B17" s="0" t="s">
        <v>61</v>
      </c>
      <c r="C17" s="0" t="s">
        <v>62</v>
      </c>
      <c r="D17" s="0" t="s">
        <v>63</v>
      </c>
      <c r="E17" s="89" t="n">
        <f aca="false">E9/E12</f>
        <v>18.61</v>
      </c>
      <c r="J17" s="78" t="n">
        <v>43770</v>
      </c>
      <c r="K17" s="106" t="n">
        <v>2692.07</v>
      </c>
    </row>
    <row r="18" customFormat="false" ht="15" hidden="false" customHeight="false" outlineLevel="0" collapsed="false">
      <c r="J18" s="78" t="n">
        <v>43800</v>
      </c>
      <c r="K18" s="106" t="n">
        <v>2211.36</v>
      </c>
    </row>
    <row r="19" customFormat="false" ht="15" hidden="false" customHeight="false" outlineLevel="0" collapsed="false">
      <c r="E19" s="18"/>
    </row>
    <row r="20" customFormat="false" ht="15" hidden="false" customHeight="false" outlineLevel="0" collapsed="false">
      <c r="B20" s="109" t="s">
        <v>65</v>
      </c>
      <c r="C20" s="110"/>
      <c r="D20" s="110" t="s">
        <v>66</v>
      </c>
      <c r="E20" s="111" t="n">
        <v>335</v>
      </c>
      <c r="J20" s="0" t="s">
        <v>39</v>
      </c>
      <c r="K20" s="0" t="n">
        <f aca="false">(SUM(K7:K18))/12</f>
        <v>2232.66916666667</v>
      </c>
    </row>
    <row r="21" customFormat="false" ht="15" hidden="false" customHeight="false" outlineLevel="0" collapsed="false">
      <c r="B21" s="91" t="s">
        <v>67</v>
      </c>
      <c r="C21" s="0" t="s">
        <v>68</v>
      </c>
      <c r="D21" s="0" t="s">
        <v>69</v>
      </c>
      <c r="E21" s="93" t="n">
        <f aca="false">(E17*1000)/E20</f>
        <v>55.55</v>
      </c>
    </row>
    <row r="22" customFormat="false" ht="15" hidden="false" customHeight="false" outlineLevel="0" collapsed="false">
      <c r="B22" s="91" t="s">
        <v>70</v>
      </c>
      <c r="D22" s="0" t="s">
        <v>47</v>
      </c>
      <c r="E22" s="93" t="n">
        <v>1.98</v>
      </c>
    </row>
    <row r="23" customFormat="false" ht="15" hidden="false" customHeight="false" outlineLevel="0" collapsed="false">
      <c r="B23" s="91" t="s">
        <v>71</v>
      </c>
      <c r="C23" s="0" t="s">
        <v>72</v>
      </c>
      <c r="D23" s="0" t="s">
        <v>47</v>
      </c>
      <c r="E23" s="93" t="n">
        <f aca="false">E21*E22</f>
        <v>109.99</v>
      </c>
    </row>
    <row r="24" customFormat="false" ht="15" hidden="false" customHeight="false" outlineLevel="0" collapsed="false">
      <c r="B24" s="91" t="s">
        <v>73</v>
      </c>
      <c r="D24" s="0" t="s">
        <v>74</v>
      </c>
      <c r="E24" s="93" t="n">
        <v>839</v>
      </c>
    </row>
    <row r="25" customFormat="false" ht="15" hidden="false" customHeight="false" outlineLevel="0" collapsed="false">
      <c r="B25" s="91"/>
      <c r="E25" s="97"/>
    </row>
    <row r="26" customFormat="false" ht="15" hidden="false" customHeight="false" outlineLevel="0" collapsed="false">
      <c r="B26" s="94" t="s">
        <v>75</v>
      </c>
      <c r="C26" s="95"/>
      <c r="D26" s="95" t="s">
        <v>74</v>
      </c>
      <c r="E26" s="96" t="n">
        <f aca="false">E24*E21</f>
        <v>46606.45</v>
      </c>
    </row>
    <row r="29" customFormat="false" ht="15" hidden="false" customHeight="false" outlineLevel="0" collapsed="false">
      <c r="B29" s="88" t="s">
        <v>77</v>
      </c>
      <c r="C29" s="88"/>
      <c r="D29" s="88"/>
      <c r="E29" s="88"/>
    </row>
    <row r="31" customFormat="false" ht="15" hidden="false" customHeight="false" outlineLevel="0" collapsed="false">
      <c r="B31" s="0" t="s">
        <v>78</v>
      </c>
      <c r="C31" s="0" t="s">
        <v>79</v>
      </c>
      <c r="D31" s="0" t="s">
        <v>47</v>
      </c>
      <c r="E31" s="89" t="n">
        <f aca="false">E7*0.8</f>
        <v>619.6</v>
      </c>
    </row>
    <row r="32" customFormat="false" ht="15" hidden="false" customHeight="false" outlineLevel="0" collapsed="false">
      <c r="E32" s="18"/>
    </row>
    <row r="33" customFormat="false" ht="15" hidden="false" customHeight="false" outlineLevel="0" collapsed="false">
      <c r="E33" s="18"/>
    </row>
    <row r="34" customFormat="false" ht="15" hidden="false" customHeight="false" outlineLevel="0" collapsed="false">
      <c r="B34" s="109" t="s">
        <v>70</v>
      </c>
      <c r="C34" s="110"/>
      <c r="D34" s="110" t="s">
        <v>47</v>
      </c>
      <c r="E34" s="111" t="n">
        <v>1.98</v>
      </c>
    </row>
    <row r="35" customFormat="false" ht="15" hidden="false" customHeight="false" outlineLevel="0" collapsed="false">
      <c r="B35" s="91" t="s">
        <v>67</v>
      </c>
      <c r="C35" s="0" t="s">
        <v>80</v>
      </c>
      <c r="D35" s="0" t="s">
        <v>69</v>
      </c>
      <c r="E35" s="98" t="n">
        <f aca="false">E31/E34</f>
        <v>312.93</v>
      </c>
    </row>
    <row r="36" customFormat="false" ht="15" hidden="false" customHeight="false" outlineLevel="0" collapsed="false">
      <c r="B36" s="91" t="s">
        <v>81</v>
      </c>
      <c r="D36" s="0" t="s">
        <v>69</v>
      </c>
      <c r="E36" s="98" t="n">
        <v>312</v>
      </c>
    </row>
    <row r="37" customFormat="false" ht="15" hidden="false" customHeight="false" outlineLevel="0" collapsed="false">
      <c r="B37" s="91" t="s">
        <v>65</v>
      </c>
      <c r="D37" s="0" t="s">
        <v>66</v>
      </c>
      <c r="E37" s="93" t="n">
        <v>335</v>
      </c>
    </row>
    <row r="38" customFormat="false" ht="15" hidden="false" customHeight="false" outlineLevel="0" collapsed="false">
      <c r="B38" s="91" t="s">
        <v>82</v>
      </c>
      <c r="C38" s="0" t="s">
        <v>83</v>
      </c>
      <c r="D38" s="0" t="s">
        <v>63</v>
      </c>
      <c r="E38" s="98" t="n">
        <f aca="false">(E36*E37)/1000</f>
        <v>104.52</v>
      </c>
    </row>
    <row r="39" customFormat="false" ht="15" hidden="false" customHeight="false" outlineLevel="0" collapsed="false">
      <c r="B39" s="91"/>
      <c r="E39" s="93"/>
    </row>
    <row r="40" customFormat="false" ht="15" hidden="false" customHeight="false" outlineLevel="0" collapsed="false">
      <c r="B40" s="91" t="s">
        <v>84</v>
      </c>
      <c r="C40" s="0" t="s">
        <v>85</v>
      </c>
      <c r="D40" s="0" t="s">
        <v>40</v>
      </c>
      <c r="E40" s="98" t="n">
        <f aca="false">E38*E12</f>
        <v>150501.48</v>
      </c>
    </row>
    <row r="41" customFormat="false" ht="15" hidden="false" customHeight="false" outlineLevel="0" collapsed="false">
      <c r="B41" s="91" t="s">
        <v>86</v>
      </c>
      <c r="C41" s="0" t="s">
        <v>51</v>
      </c>
      <c r="D41" s="0" t="s">
        <v>40</v>
      </c>
      <c r="E41" s="93" t="n">
        <f aca="false">K20*12</f>
        <v>26792.03</v>
      </c>
    </row>
    <row r="42" customFormat="false" ht="15" hidden="false" customHeight="false" outlineLevel="0" collapsed="false">
      <c r="B42" s="91"/>
      <c r="E42" s="93"/>
    </row>
    <row r="43" customFormat="false" ht="15" hidden="false" customHeight="false" outlineLevel="0" collapsed="false">
      <c r="B43" s="91" t="s">
        <v>87</v>
      </c>
      <c r="C43" s="0" t="s">
        <v>88</v>
      </c>
      <c r="D43" s="0" t="s">
        <v>89</v>
      </c>
      <c r="E43" s="100" t="n">
        <f aca="false">E41/E40</f>
        <v>0.18</v>
      </c>
    </row>
    <row r="44" customFormat="false" ht="15" hidden="false" customHeight="false" outlineLevel="0" collapsed="false">
      <c r="B44" s="91"/>
      <c r="E44" s="93"/>
    </row>
    <row r="45" customFormat="false" ht="15" hidden="false" customHeight="false" outlineLevel="0" collapsed="false">
      <c r="B45" s="91" t="s">
        <v>73</v>
      </c>
      <c r="D45" s="0" t="s">
        <v>74</v>
      </c>
      <c r="E45" s="93" t="n">
        <v>839</v>
      </c>
    </row>
    <row r="46" customFormat="false" ht="15" hidden="false" customHeight="false" outlineLevel="0" collapsed="false">
      <c r="B46" s="94" t="s">
        <v>75</v>
      </c>
      <c r="C46" s="95"/>
      <c r="D46" s="95" t="s">
        <v>74</v>
      </c>
      <c r="E46" s="101" t="n">
        <f aca="false">E45*E36</f>
        <v>261768</v>
      </c>
    </row>
    <row r="48" customFormat="false" ht="15" hidden="false" customHeight="false" outlineLevel="0" collapsed="false">
      <c r="B48" s="102" t="s">
        <v>90</v>
      </c>
      <c r="C48" s="102"/>
      <c r="D48" s="102"/>
      <c r="E48" s="102"/>
    </row>
    <row r="50" customFormat="false" ht="15" hidden="false" customHeight="false" outlineLevel="0" collapsed="false">
      <c r="B50" s="0" t="s">
        <v>91</v>
      </c>
      <c r="D50" s="0" t="s">
        <v>63</v>
      </c>
      <c r="E50" s="103" t="n">
        <v>30</v>
      </c>
    </row>
    <row r="51" customFormat="false" ht="15" hidden="false" customHeight="false" outlineLevel="0" collapsed="false">
      <c r="D51" s="0" t="s">
        <v>92</v>
      </c>
      <c r="E51" s="93" t="n">
        <v>21339</v>
      </c>
    </row>
    <row r="53" customFormat="false" ht="15" hidden="false" customHeight="false" outlineLevel="0" collapsed="false">
      <c r="B53" s="102" t="s">
        <v>93</v>
      </c>
      <c r="C53" s="102"/>
      <c r="D53" s="102"/>
      <c r="E53" s="102"/>
    </row>
    <row r="55" customFormat="false" ht="15" hidden="false" customHeight="false" outlineLevel="0" collapsed="false">
      <c r="B55" s="0" t="s">
        <v>91</v>
      </c>
      <c r="D55" s="0" t="s">
        <v>63</v>
      </c>
      <c r="E55" s="103" t="n">
        <v>22.5</v>
      </c>
    </row>
    <row r="56" customFormat="false" ht="15" hidden="false" customHeight="false" outlineLevel="0" collapsed="false">
      <c r="D56" s="0" t="s">
        <v>92</v>
      </c>
      <c r="E56" s="93" t="n">
        <v>20989</v>
      </c>
    </row>
    <row r="58" customFormat="false" ht="15" hidden="false" customHeight="false" outlineLevel="0" collapsed="false">
      <c r="B58" s="102" t="s">
        <v>94</v>
      </c>
      <c r="C58" s="102"/>
      <c r="D58" s="102"/>
      <c r="E58" s="102"/>
    </row>
    <row r="60" customFormat="false" ht="15" hidden="false" customHeight="false" outlineLevel="0" collapsed="false">
      <c r="B60" s="0" t="s">
        <v>91</v>
      </c>
      <c r="D60" s="0" t="s">
        <v>63</v>
      </c>
      <c r="E60" s="103" t="n">
        <v>45</v>
      </c>
    </row>
    <row r="61" customFormat="false" ht="15" hidden="false" customHeight="false" outlineLevel="0" collapsed="false">
      <c r="D61" s="0" t="s">
        <v>92</v>
      </c>
      <c r="E61" s="93" t="n">
        <v>29229</v>
      </c>
    </row>
    <row r="63" customFormat="false" ht="15" hidden="false" customHeight="false" outlineLevel="0" collapsed="false">
      <c r="B63" s="88" t="s">
        <v>95</v>
      </c>
      <c r="C63" s="88"/>
      <c r="D63" s="88"/>
      <c r="E63" s="88"/>
    </row>
    <row r="64" customFormat="false" ht="15" hidden="false" customHeight="false" outlineLevel="0" collapsed="false">
      <c r="C64" s="2" t="s">
        <v>96</v>
      </c>
    </row>
    <row r="65" customFormat="false" ht="15" hidden="false" customHeight="false" outlineLevel="0" collapsed="false">
      <c r="B65" s="0" t="s">
        <v>97</v>
      </c>
      <c r="C65" s="2" t="n">
        <v>4</v>
      </c>
      <c r="D65" s="0" t="s">
        <v>63</v>
      </c>
      <c r="E65" s="89" t="n">
        <f aca="false">C65*E55</f>
        <v>90</v>
      </c>
    </row>
    <row r="66" customFormat="false" ht="15" hidden="false" customHeight="false" outlineLevel="0" collapsed="false">
      <c r="E66" s="18"/>
    </row>
    <row r="68" customFormat="false" ht="15" hidden="false" customHeight="false" outlineLevel="0" collapsed="false">
      <c r="B68" s="109" t="s">
        <v>65</v>
      </c>
      <c r="C68" s="110"/>
      <c r="D68" s="110" t="s">
        <v>66</v>
      </c>
      <c r="E68" s="111" t="n">
        <v>335</v>
      </c>
    </row>
    <row r="69" customFormat="false" ht="15" hidden="false" customHeight="false" outlineLevel="0" collapsed="false">
      <c r="B69" s="91" t="s">
        <v>67</v>
      </c>
      <c r="C69" s="0" t="s">
        <v>103</v>
      </c>
      <c r="D69" s="0" t="s">
        <v>69</v>
      </c>
      <c r="E69" s="98" t="n">
        <f aca="false">(E65/E68)*1000</f>
        <v>268.66</v>
      </c>
    </row>
    <row r="70" customFormat="false" ht="15" hidden="false" customHeight="false" outlineLevel="0" collapsed="false">
      <c r="B70" s="91" t="s">
        <v>81</v>
      </c>
      <c r="D70" s="0" t="s">
        <v>69</v>
      </c>
      <c r="E70" s="98" t="n">
        <v>268</v>
      </c>
    </row>
    <row r="71" customFormat="false" ht="15" hidden="false" customHeight="false" outlineLevel="0" collapsed="false">
      <c r="B71" s="91" t="s">
        <v>70</v>
      </c>
      <c r="D71" s="0" t="s">
        <v>47</v>
      </c>
      <c r="E71" s="93" t="n">
        <v>1.98</v>
      </c>
    </row>
    <row r="72" customFormat="false" ht="15" hidden="false" customHeight="false" outlineLevel="0" collapsed="false">
      <c r="B72" s="91" t="s">
        <v>99</v>
      </c>
      <c r="C72" s="0" t="s">
        <v>72</v>
      </c>
      <c r="D72" s="0" t="s">
        <v>47</v>
      </c>
      <c r="E72" s="98" t="n">
        <f aca="false">E71*E70</f>
        <v>530.64</v>
      </c>
    </row>
    <row r="73" customFormat="false" ht="15" hidden="false" customHeight="false" outlineLevel="0" collapsed="false">
      <c r="B73" s="91" t="s">
        <v>99</v>
      </c>
      <c r="D73" s="41" t="s">
        <v>89</v>
      </c>
      <c r="E73" s="100" t="n">
        <f aca="false">E72/E7</f>
        <v>0.69</v>
      </c>
    </row>
    <row r="74" customFormat="false" ht="15" hidden="false" customHeight="false" outlineLevel="0" collapsed="false">
      <c r="B74" s="91"/>
      <c r="D74" s="41"/>
      <c r="E74" s="100"/>
    </row>
    <row r="75" customFormat="false" ht="15" hidden="false" customHeight="false" outlineLevel="0" collapsed="false">
      <c r="B75" s="91" t="s">
        <v>82</v>
      </c>
      <c r="C75" s="0" t="s">
        <v>83</v>
      </c>
      <c r="D75" s="0" t="s">
        <v>63</v>
      </c>
      <c r="E75" s="93" t="n">
        <f aca="false">E70*E68/1000</f>
        <v>89.78</v>
      </c>
    </row>
    <row r="76" customFormat="false" ht="15" hidden="false" customHeight="false" outlineLevel="0" collapsed="false">
      <c r="B76" s="91" t="s">
        <v>84</v>
      </c>
      <c r="C76" s="0" t="s">
        <v>85</v>
      </c>
      <c r="D76" s="0" t="s">
        <v>40</v>
      </c>
      <c r="E76" s="98" t="n">
        <f aca="false">E70*E68*E12/1000</f>
        <v>129276.92</v>
      </c>
    </row>
    <row r="77" customFormat="false" ht="15" hidden="false" customHeight="false" outlineLevel="0" collapsed="false">
      <c r="B77" s="91" t="s">
        <v>86</v>
      </c>
      <c r="C77" s="0" t="s">
        <v>51</v>
      </c>
      <c r="D77" s="0" t="s">
        <v>40</v>
      </c>
      <c r="E77" s="93" t="n">
        <f aca="false">K20*12</f>
        <v>26792.03</v>
      </c>
    </row>
    <row r="78" customFormat="false" ht="15" hidden="false" customHeight="false" outlineLevel="0" collapsed="false">
      <c r="B78" s="91"/>
      <c r="E78" s="93"/>
    </row>
    <row r="79" customFormat="false" ht="15" hidden="false" customHeight="false" outlineLevel="0" collapsed="false">
      <c r="B79" s="91" t="s">
        <v>87</v>
      </c>
      <c r="C79" s="0" t="s">
        <v>88</v>
      </c>
      <c r="D79" s="0" t="s">
        <v>89</v>
      </c>
      <c r="E79" s="104" t="n">
        <f aca="false">E77/E76</f>
        <v>0.2072</v>
      </c>
      <c r="F79" s="112" t="n">
        <f aca="false">1-E79</f>
        <v>0.7928</v>
      </c>
    </row>
    <row r="80" customFormat="false" ht="15" hidden="false" customHeight="false" outlineLevel="0" collapsed="false">
      <c r="B80" s="91"/>
      <c r="E80" s="93"/>
    </row>
    <row r="81" customFormat="false" ht="15" hidden="false" customHeight="false" outlineLevel="0" collapsed="false">
      <c r="B81" s="91" t="s">
        <v>73</v>
      </c>
      <c r="D81" s="0" t="s">
        <v>74</v>
      </c>
      <c r="E81" s="93" t="n">
        <v>839</v>
      </c>
    </row>
    <row r="82" customFormat="false" ht="15" hidden="false" customHeight="false" outlineLevel="0" collapsed="false">
      <c r="B82" s="91" t="s">
        <v>75</v>
      </c>
      <c r="D82" s="0" t="s">
        <v>74</v>
      </c>
      <c r="E82" s="98" t="n">
        <f aca="false">E70*E81</f>
        <v>224852</v>
      </c>
    </row>
    <row r="83" customFormat="false" ht="15" hidden="false" customHeight="false" outlineLevel="0" collapsed="false">
      <c r="B83" s="91" t="s">
        <v>101</v>
      </c>
      <c r="D83" s="0" t="s">
        <v>74</v>
      </c>
      <c r="E83" s="98" t="n">
        <f aca="false">C65*E56</f>
        <v>83956</v>
      </c>
    </row>
    <row r="84" customFormat="false" ht="15" hidden="false" customHeight="false" outlineLevel="0" collapsed="false">
      <c r="B84" s="94" t="s">
        <v>102</v>
      </c>
      <c r="C84" s="95"/>
      <c r="D84" s="95" t="s">
        <v>74</v>
      </c>
      <c r="E84" s="101" t="n">
        <f aca="false">SUM(E82:E83)</f>
        <v>308808</v>
      </c>
    </row>
    <row r="141" customFormat="false" ht="15" hidden="false" customHeight="false" outlineLevel="0" collapsed="false">
      <c r="G141" s="112" t="e">
        <f aca="false">1-#REF!</f>
        <v>#REF!</v>
      </c>
    </row>
  </sheetData>
  <mergeCells count="7">
    <mergeCell ref="B5:E5"/>
    <mergeCell ref="B15:E15"/>
    <mergeCell ref="B29:E29"/>
    <mergeCell ref="B48:E48"/>
    <mergeCell ref="B53:E53"/>
    <mergeCell ref="B58:E58"/>
    <mergeCell ref="B63:E63"/>
  </mergeCells>
  <printOptions headings="false" gridLines="false" gridLinesSet="true" horizontalCentered="false" verticalCentered="false"/>
  <pageMargins left="0.511805555555555" right="0.511805555555555" top="1.18125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K8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34"/>
    <col collapsed="false" customWidth="true" hidden="false" outlineLevel="0" max="3" min="3" style="0" width="48.86"/>
    <col collapsed="false" customWidth="true" hidden="false" outlineLevel="0" max="4" min="4" style="0" width="12.42"/>
    <col collapsed="false" customWidth="true" hidden="false" outlineLevel="0" max="5" min="5" style="0" width="19.42"/>
    <col collapsed="false" customWidth="true" hidden="false" outlineLevel="0" max="10" min="6" style="0" width="9"/>
    <col collapsed="false" customWidth="true" hidden="false" outlineLevel="0" max="11" min="11" style="0" width="15.15"/>
    <col collapsed="false" customWidth="true" hidden="false" outlineLevel="0" max="64" min="12" style="0" width="9"/>
  </cols>
  <sheetData>
    <row r="5" customFormat="false" ht="15" hidden="false" customHeight="false" outlineLevel="0" collapsed="false">
      <c r="B5" s="83" t="s">
        <v>122</v>
      </c>
      <c r="C5" s="83"/>
      <c r="D5" s="83"/>
      <c r="E5" s="83"/>
    </row>
    <row r="6" customFormat="false" ht="15" hidden="false" customHeight="false" outlineLevel="0" collapsed="false">
      <c r="B6" s="0" t="s">
        <v>45</v>
      </c>
      <c r="C6" s="2" t="s">
        <v>24</v>
      </c>
      <c r="K6" s="84" t="str">
        <f aca="false">B5</f>
        <v>GOIÁS</v>
      </c>
    </row>
    <row r="7" customFormat="false" ht="15" hidden="false" customHeight="false" outlineLevel="0" collapsed="false">
      <c r="B7" s="0" t="s">
        <v>46</v>
      </c>
      <c r="D7" s="0" t="s">
        <v>47</v>
      </c>
      <c r="E7" s="18" t="n">
        <v>319</v>
      </c>
      <c r="J7" s="78" t="n">
        <v>43466</v>
      </c>
      <c r="K7" s="106" t="n">
        <v>2112.75</v>
      </c>
    </row>
    <row r="8" customFormat="false" ht="15" hidden="false" customHeight="false" outlineLevel="0" collapsed="false">
      <c r="B8" s="0" t="s">
        <v>48</v>
      </c>
      <c r="E8" s="18" t="s">
        <v>123</v>
      </c>
      <c r="J8" s="78" t="n">
        <v>43497</v>
      </c>
      <c r="K8" s="106" t="n">
        <v>1734.67</v>
      </c>
    </row>
    <row r="9" customFormat="false" ht="15" hidden="false" customHeight="false" outlineLevel="0" collapsed="false">
      <c r="B9" s="0" t="s">
        <v>50</v>
      </c>
      <c r="C9" s="0" t="s">
        <v>51</v>
      </c>
      <c r="D9" s="0" t="s">
        <v>40</v>
      </c>
      <c r="E9" s="18" t="n">
        <f aca="false">K20*12</f>
        <v>23146.75</v>
      </c>
      <c r="J9" s="78" t="n">
        <v>43525</v>
      </c>
      <c r="K9" s="106" t="n">
        <v>1780</v>
      </c>
    </row>
    <row r="10" customFormat="false" ht="15" hidden="false" customHeight="false" outlineLevel="0" collapsed="false">
      <c r="B10" s="0" t="s">
        <v>52</v>
      </c>
      <c r="C10" s="0" t="s">
        <v>53</v>
      </c>
      <c r="D10" s="0" t="s">
        <v>54</v>
      </c>
      <c r="E10" s="18" t="n">
        <v>5.22</v>
      </c>
      <c r="J10" s="78" t="n">
        <v>43556</v>
      </c>
      <c r="K10" s="106" t="n">
        <v>1991</v>
      </c>
    </row>
    <row r="11" customFormat="false" ht="15" hidden="false" customHeight="false" outlineLevel="0" collapsed="false">
      <c r="B11" s="0" t="s">
        <v>55</v>
      </c>
      <c r="C11" s="0" t="s">
        <v>56</v>
      </c>
      <c r="E11" s="18" t="n">
        <v>0.75</v>
      </c>
      <c r="J11" s="78" t="n">
        <v>43586</v>
      </c>
      <c r="K11" s="106" t="n">
        <v>1581</v>
      </c>
    </row>
    <row r="12" customFormat="false" ht="15" hidden="false" customHeight="false" outlineLevel="0" collapsed="false">
      <c r="B12" s="0" t="s">
        <v>109</v>
      </c>
      <c r="C12" s="0" t="s">
        <v>58</v>
      </c>
      <c r="D12" s="0" t="s">
        <v>59</v>
      </c>
      <c r="E12" s="18" t="n">
        <f aca="false">E10*365*E11</f>
        <v>1428.98</v>
      </c>
      <c r="J12" s="78" t="n">
        <v>43617</v>
      </c>
      <c r="K12" s="106" t="n">
        <v>1935</v>
      </c>
    </row>
    <row r="13" customFormat="false" ht="15" hidden="false" customHeight="false" outlineLevel="0" collapsed="false">
      <c r="J13" s="78" t="n">
        <v>43647</v>
      </c>
      <c r="K13" s="106" t="n">
        <v>1483</v>
      </c>
    </row>
    <row r="14" customFormat="false" ht="15" hidden="false" customHeight="false" outlineLevel="0" collapsed="false">
      <c r="J14" s="78" t="n">
        <v>43678</v>
      </c>
      <c r="K14" s="106" t="n">
        <v>1272</v>
      </c>
    </row>
    <row r="15" customFormat="false" ht="15" hidden="false" customHeight="false" outlineLevel="0" collapsed="false">
      <c r="B15" s="88" t="s">
        <v>60</v>
      </c>
      <c r="C15" s="88"/>
      <c r="D15" s="88"/>
      <c r="E15" s="88"/>
      <c r="J15" s="78" t="n">
        <v>43709</v>
      </c>
      <c r="K15" s="106" t="n">
        <v>1854.86</v>
      </c>
    </row>
    <row r="16" customFormat="false" ht="15" hidden="false" customHeight="false" outlineLevel="0" collapsed="false">
      <c r="J16" s="78" t="n">
        <v>43739</v>
      </c>
      <c r="K16" s="106" t="n">
        <v>2402.34</v>
      </c>
    </row>
    <row r="17" customFormat="false" ht="15" hidden="false" customHeight="false" outlineLevel="0" collapsed="false">
      <c r="B17" s="0" t="s">
        <v>61</v>
      </c>
      <c r="C17" s="0" t="s">
        <v>62</v>
      </c>
      <c r="D17" s="0" t="s">
        <v>63</v>
      </c>
      <c r="E17" s="89" t="n">
        <f aca="false">E9/E12</f>
        <v>16.2</v>
      </c>
      <c r="J17" s="78" t="n">
        <v>43770</v>
      </c>
      <c r="K17" s="106" t="n">
        <v>3097</v>
      </c>
    </row>
    <row r="18" customFormat="false" ht="15" hidden="false" customHeight="false" outlineLevel="0" collapsed="false">
      <c r="J18" s="78" t="n">
        <v>43800</v>
      </c>
      <c r="K18" s="106" t="n">
        <v>1903.13</v>
      </c>
    </row>
    <row r="19" customFormat="false" ht="15" hidden="false" customHeight="false" outlineLevel="0" collapsed="false">
      <c r="E19" s="18"/>
    </row>
    <row r="20" customFormat="false" ht="15" hidden="false" customHeight="false" outlineLevel="0" collapsed="false">
      <c r="B20" s="109" t="s">
        <v>65</v>
      </c>
      <c r="C20" s="110"/>
      <c r="D20" s="110" t="s">
        <v>66</v>
      </c>
      <c r="E20" s="111" t="n">
        <v>335</v>
      </c>
      <c r="J20" s="0" t="s">
        <v>39</v>
      </c>
      <c r="K20" s="0" t="n">
        <f aca="false">(SUM(K7:K18))/12</f>
        <v>1928.89583333333</v>
      </c>
    </row>
    <row r="21" customFormat="false" ht="15" hidden="false" customHeight="false" outlineLevel="0" collapsed="false">
      <c r="B21" s="91" t="s">
        <v>67</v>
      </c>
      <c r="C21" s="0" t="s">
        <v>68</v>
      </c>
      <c r="D21" s="0" t="s">
        <v>69</v>
      </c>
      <c r="E21" s="93" t="n">
        <f aca="false">(E17*1000)/E20</f>
        <v>48.36</v>
      </c>
    </row>
    <row r="22" customFormat="false" ht="15" hidden="false" customHeight="false" outlineLevel="0" collapsed="false">
      <c r="B22" s="91" t="s">
        <v>70</v>
      </c>
      <c r="D22" s="0" t="s">
        <v>47</v>
      </c>
      <c r="E22" s="93" t="n">
        <v>1.98</v>
      </c>
    </row>
    <row r="23" customFormat="false" ht="15" hidden="false" customHeight="false" outlineLevel="0" collapsed="false">
      <c r="B23" s="91" t="s">
        <v>71</v>
      </c>
      <c r="C23" s="0" t="s">
        <v>72</v>
      </c>
      <c r="D23" s="0" t="s">
        <v>47</v>
      </c>
      <c r="E23" s="93" t="n">
        <f aca="false">E21*E22</f>
        <v>95.75</v>
      </c>
    </row>
    <row r="24" customFormat="false" ht="15" hidden="false" customHeight="false" outlineLevel="0" collapsed="false">
      <c r="B24" s="91" t="s">
        <v>73</v>
      </c>
      <c r="D24" s="0" t="s">
        <v>74</v>
      </c>
      <c r="E24" s="93" t="n">
        <v>839</v>
      </c>
    </row>
    <row r="25" customFormat="false" ht="15" hidden="false" customHeight="false" outlineLevel="0" collapsed="false">
      <c r="B25" s="91"/>
      <c r="E25" s="97"/>
    </row>
    <row r="26" customFormat="false" ht="15" hidden="false" customHeight="false" outlineLevel="0" collapsed="false">
      <c r="B26" s="94" t="s">
        <v>75</v>
      </c>
      <c r="C26" s="95"/>
      <c r="D26" s="95" t="s">
        <v>74</v>
      </c>
      <c r="E26" s="96" t="n">
        <f aca="false">E24*E21</f>
        <v>40574.04</v>
      </c>
    </row>
    <row r="29" customFormat="false" ht="15" hidden="false" customHeight="false" outlineLevel="0" collapsed="false">
      <c r="B29" s="88" t="s">
        <v>77</v>
      </c>
      <c r="C29" s="88"/>
      <c r="D29" s="88"/>
      <c r="E29" s="88"/>
    </row>
    <row r="31" customFormat="false" ht="15" hidden="false" customHeight="false" outlineLevel="0" collapsed="false">
      <c r="B31" s="0" t="s">
        <v>78</v>
      </c>
      <c r="C31" s="0" t="s">
        <v>79</v>
      </c>
      <c r="D31" s="0" t="s">
        <v>47</v>
      </c>
      <c r="E31" s="89" t="n">
        <f aca="false">E7*0.8</f>
        <v>255.2</v>
      </c>
    </row>
    <row r="32" customFormat="false" ht="15" hidden="false" customHeight="false" outlineLevel="0" collapsed="false">
      <c r="E32" s="18"/>
    </row>
    <row r="33" customFormat="false" ht="15" hidden="false" customHeight="false" outlineLevel="0" collapsed="false">
      <c r="E33" s="18"/>
    </row>
    <row r="34" customFormat="false" ht="15" hidden="false" customHeight="false" outlineLevel="0" collapsed="false">
      <c r="B34" s="109" t="s">
        <v>70</v>
      </c>
      <c r="C34" s="110"/>
      <c r="D34" s="110" t="s">
        <v>47</v>
      </c>
      <c r="E34" s="111" t="n">
        <v>1.98</v>
      </c>
    </row>
    <row r="35" customFormat="false" ht="15" hidden="false" customHeight="false" outlineLevel="0" collapsed="false">
      <c r="B35" s="91" t="s">
        <v>67</v>
      </c>
      <c r="C35" s="0" t="s">
        <v>80</v>
      </c>
      <c r="D35" s="0" t="s">
        <v>69</v>
      </c>
      <c r="E35" s="98" t="n">
        <f aca="false">E31/E34</f>
        <v>128.89</v>
      </c>
    </row>
    <row r="36" customFormat="false" ht="15" hidden="false" customHeight="false" outlineLevel="0" collapsed="false">
      <c r="B36" s="91" t="s">
        <v>81</v>
      </c>
      <c r="D36" s="0" t="s">
        <v>69</v>
      </c>
      <c r="E36" s="98" t="n">
        <v>128</v>
      </c>
    </row>
    <row r="37" customFormat="false" ht="15" hidden="false" customHeight="false" outlineLevel="0" collapsed="false">
      <c r="B37" s="91" t="s">
        <v>65</v>
      </c>
      <c r="D37" s="0" t="s">
        <v>66</v>
      </c>
      <c r="E37" s="93" t="n">
        <v>335</v>
      </c>
    </row>
    <row r="38" customFormat="false" ht="15" hidden="false" customHeight="false" outlineLevel="0" collapsed="false">
      <c r="B38" s="91" t="s">
        <v>82</v>
      </c>
      <c r="C38" s="0" t="s">
        <v>83</v>
      </c>
      <c r="D38" s="0" t="s">
        <v>63</v>
      </c>
      <c r="E38" s="98" t="n">
        <f aca="false">(E36*E37)/1000</f>
        <v>42.88</v>
      </c>
    </row>
    <row r="39" customFormat="false" ht="15" hidden="false" customHeight="false" outlineLevel="0" collapsed="false">
      <c r="B39" s="91"/>
      <c r="E39" s="93"/>
    </row>
    <row r="40" customFormat="false" ht="15" hidden="false" customHeight="false" outlineLevel="0" collapsed="false">
      <c r="B40" s="91" t="s">
        <v>84</v>
      </c>
      <c r="C40" s="0" t="s">
        <v>85</v>
      </c>
      <c r="D40" s="0" t="s">
        <v>40</v>
      </c>
      <c r="E40" s="98" t="n">
        <f aca="false">E38*E12</f>
        <v>61274.66</v>
      </c>
    </row>
    <row r="41" customFormat="false" ht="15" hidden="false" customHeight="false" outlineLevel="0" collapsed="false">
      <c r="B41" s="91" t="s">
        <v>86</v>
      </c>
      <c r="C41" s="0" t="s">
        <v>51</v>
      </c>
      <c r="D41" s="0" t="s">
        <v>40</v>
      </c>
      <c r="E41" s="93" t="n">
        <f aca="false">K20*12</f>
        <v>23146.75</v>
      </c>
    </row>
    <row r="42" customFormat="false" ht="15" hidden="false" customHeight="false" outlineLevel="0" collapsed="false">
      <c r="B42" s="91"/>
      <c r="E42" s="93"/>
    </row>
    <row r="43" customFormat="false" ht="15" hidden="false" customHeight="false" outlineLevel="0" collapsed="false">
      <c r="B43" s="91" t="s">
        <v>87</v>
      </c>
      <c r="C43" s="0" t="s">
        <v>88</v>
      </c>
      <c r="D43" s="0" t="s">
        <v>89</v>
      </c>
      <c r="E43" s="100" t="n">
        <f aca="false">E41/E40</f>
        <v>0.38</v>
      </c>
    </row>
    <row r="44" customFormat="false" ht="15" hidden="false" customHeight="false" outlineLevel="0" collapsed="false">
      <c r="B44" s="91"/>
      <c r="E44" s="93"/>
    </row>
    <row r="45" customFormat="false" ht="15" hidden="false" customHeight="false" outlineLevel="0" collapsed="false">
      <c r="B45" s="91" t="s">
        <v>73</v>
      </c>
      <c r="D45" s="0" t="s">
        <v>74</v>
      </c>
      <c r="E45" s="93" t="n">
        <v>839</v>
      </c>
    </row>
    <row r="46" customFormat="false" ht="15" hidden="false" customHeight="false" outlineLevel="0" collapsed="false">
      <c r="B46" s="94" t="s">
        <v>75</v>
      </c>
      <c r="C46" s="95"/>
      <c r="D46" s="95" t="s">
        <v>74</v>
      </c>
      <c r="E46" s="101" t="n">
        <f aca="false">E45*E36</f>
        <v>107392</v>
      </c>
    </row>
    <row r="48" customFormat="false" ht="15" hidden="false" customHeight="false" outlineLevel="0" collapsed="false">
      <c r="B48" s="102" t="s">
        <v>90</v>
      </c>
      <c r="C48" s="102"/>
      <c r="D48" s="102"/>
      <c r="E48" s="102"/>
    </row>
    <row r="50" customFormat="false" ht="15" hidden="false" customHeight="false" outlineLevel="0" collapsed="false">
      <c r="B50" s="0" t="s">
        <v>91</v>
      </c>
      <c r="D50" s="0" t="s">
        <v>63</v>
      </c>
      <c r="E50" s="103" t="n">
        <v>30</v>
      </c>
    </row>
    <row r="51" customFormat="false" ht="15" hidden="false" customHeight="false" outlineLevel="0" collapsed="false">
      <c r="D51" s="0" t="s">
        <v>92</v>
      </c>
      <c r="E51" s="93" t="n">
        <v>21339</v>
      </c>
    </row>
    <row r="53" customFormat="false" ht="15" hidden="false" customHeight="false" outlineLevel="0" collapsed="false">
      <c r="B53" s="102" t="s">
        <v>93</v>
      </c>
      <c r="C53" s="102"/>
      <c r="D53" s="102"/>
      <c r="E53" s="102"/>
    </row>
    <row r="55" customFormat="false" ht="15" hidden="false" customHeight="false" outlineLevel="0" collapsed="false">
      <c r="B55" s="0" t="s">
        <v>91</v>
      </c>
      <c r="D55" s="0" t="s">
        <v>63</v>
      </c>
      <c r="E55" s="103" t="n">
        <v>22.5</v>
      </c>
    </row>
    <row r="56" customFormat="false" ht="15" hidden="false" customHeight="false" outlineLevel="0" collapsed="false">
      <c r="D56" s="0" t="s">
        <v>92</v>
      </c>
      <c r="E56" s="93" t="n">
        <v>20989</v>
      </c>
    </row>
    <row r="58" customFormat="false" ht="15" hidden="false" customHeight="false" outlineLevel="0" collapsed="false">
      <c r="B58" s="102" t="s">
        <v>94</v>
      </c>
      <c r="C58" s="102"/>
      <c r="D58" s="102"/>
      <c r="E58" s="102"/>
    </row>
    <row r="60" customFormat="false" ht="15" hidden="false" customHeight="false" outlineLevel="0" collapsed="false">
      <c r="B60" s="0" t="s">
        <v>91</v>
      </c>
      <c r="D60" s="0" t="s">
        <v>63</v>
      </c>
      <c r="E60" s="103" t="n">
        <v>45</v>
      </c>
    </row>
    <row r="61" customFormat="false" ht="15" hidden="false" customHeight="false" outlineLevel="0" collapsed="false">
      <c r="D61" s="0" t="s">
        <v>92</v>
      </c>
      <c r="E61" s="93" t="n">
        <v>29229</v>
      </c>
    </row>
    <row r="63" customFormat="false" ht="15" hidden="false" customHeight="false" outlineLevel="0" collapsed="false">
      <c r="B63" s="88" t="s">
        <v>95</v>
      </c>
      <c r="C63" s="88"/>
      <c r="D63" s="88"/>
      <c r="E63" s="88"/>
    </row>
    <row r="64" customFormat="false" ht="15" hidden="false" customHeight="false" outlineLevel="0" collapsed="false">
      <c r="C64" s="2" t="s">
        <v>96</v>
      </c>
    </row>
    <row r="65" customFormat="false" ht="15" hidden="false" customHeight="false" outlineLevel="0" collapsed="false">
      <c r="B65" s="0" t="s">
        <v>97</v>
      </c>
      <c r="C65" s="2" t="n">
        <v>2</v>
      </c>
      <c r="D65" s="0" t="s">
        <v>63</v>
      </c>
      <c r="E65" s="89" t="n">
        <f aca="false">C65*E55</f>
        <v>45</v>
      </c>
    </row>
    <row r="66" customFormat="false" ht="15" hidden="false" customHeight="false" outlineLevel="0" collapsed="false">
      <c r="E66" s="18"/>
    </row>
    <row r="68" customFormat="false" ht="15" hidden="false" customHeight="false" outlineLevel="0" collapsed="false">
      <c r="B68" s="109" t="s">
        <v>65</v>
      </c>
      <c r="C68" s="110"/>
      <c r="D68" s="110" t="s">
        <v>66</v>
      </c>
      <c r="E68" s="111" t="n">
        <v>335</v>
      </c>
    </row>
    <row r="69" customFormat="false" ht="15" hidden="false" customHeight="false" outlineLevel="0" collapsed="false">
      <c r="B69" s="91" t="s">
        <v>67</v>
      </c>
      <c r="C69" s="0" t="s">
        <v>103</v>
      </c>
      <c r="D69" s="0" t="s">
        <v>69</v>
      </c>
      <c r="E69" s="98" t="n">
        <f aca="false">(E65/E68)*1000</f>
        <v>134.33</v>
      </c>
    </row>
    <row r="70" customFormat="false" ht="15" hidden="false" customHeight="false" outlineLevel="0" collapsed="false">
      <c r="B70" s="91" t="s">
        <v>81</v>
      </c>
      <c r="D70" s="0" t="s">
        <v>69</v>
      </c>
      <c r="E70" s="98" t="n">
        <v>134</v>
      </c>
    </row>
    <row r="71" customFormat="false" ht="15" hidden="false" customHeight="false" outlineLevel="0" collapsed="false">
      <c r="B71" s="91" t="s">
        <v>70</v>
      </c>
      <c r="D71" s="0" t="s">
        <v>47</v>
      </c>
      <c r="E71" s="93" t="n">
        <v>1.98</v>
      </c>
    </row>
    <row r="72" customFormat="false" ht="15" hidden="false" customHeight="false" outlineLevel="0" collapsed="false">
      <c r="B72" s="91" t="s">
        <v>99</v>
      </c>
      <c r="C72" s="0" t="s">
        <v>72</v>
      </c>
      <c r="D72" s="0" t="s">
        <v>47</v>
      </c>
      <c r="E72" s="98" t="n">
        <f aca="false">E71*E70</f>
        <v>265.32</v>
      </c>
    </row>
    <row r="73" customFormat="false" ht="15" hidden="false" customHeight="false" outlineLevel="0" collapsed="false">
      <c r="B73" s="91" t="s">
        <v>99</v>
      </c>
      <c r="D73" s="41" t="s">
        <v>89</v>
      </c>
      <c r="E73" s="100" t="n">
        <f aca="false">E72/E7</f>
        <v>0.83</v>
      </c>
    </row>
    <row r="74" customFormat="false" ht="15" hidden="false" customHeight="false" outlineLevel="0" collapsed="false">
      <c r="B74" s="91"/>
      <c r="D74" s="41"/>
      <c r="E74" s="100"/>
    </row>
    <row r="75" customFormat="false" ht="15" hidden="false" customHeight="false" outlineLevel="0" collapsed="false">
      <c r="B75" s="91" t="s">
        <v>82</v>
      </c>
      <c r="C75" s="0" t="s">
        <v>83</v>
      </c>
      <c r="D75" s="0" t="s">
        <v>63</v>
      </c>
      <c r="E75" s="93" t="n">
        <f aca="false">E70*E68/1000</f>
        <v>44.89</v>
      </c>
    </row>
    <row r="76" customFormat="false" ht="15" hidden="false" customHeight="false" outlineLevel="0" collapsed="false">
      <c r="B76" s="91" t="s">
        <v>84</v>
      </c>
      <c r="C76" s="0" t="s">
        <v>85</v>
      </c>
      <c r="D76" s="0" t="s">
        <v>40</v>
      </c>
      <c r="E76" s="98" t="n">
        <f aca="false">E70*E68*E12/1000</f>
        <v>64146.91</v>
      </c>
    </row>
    <row r="77" customFormat="false" ht="15" hidden="false" customHeight="false" outlineLevel="0" collapsed="false">
      <c r="B77" s="91" t="s">
        <v>86</v>
      </c>
      <c r="C77" s="0" t="s">
        <v>51</v>
      </c>
      <c r="D77" s="0" t="s">
        <v>40</v>
      </c>
      <c r="E77" s="93" t="n">
        <f aca="false">K20*12</f>
        <v>23146.75</v>
      </c>
    </row>
    <row r="78" customFormat="false" ht="15" hidden="false" customHeight="false" outlineLevel="0" collapsed="false">
      <c r="B78" s="91"/>
      <c r="E78" s="93"/>
    </row>
    <row r="79" customFormat="false" ht="15" hidden="false" customHeight="false" outlineLevel="0" collapsed="false">
      <c r="B79" s="91" t="s">
        <v>87</v>
      </c>
      <c r="C79" s="0" t="s">
        <v>88</v>
      </c>
      <c r="D79" s="0" t="s">
        <v>89</v>
      </c>
      <c r="E79" s="104" t="n">
        <f aca="false">E77/E76</f>
        <v>0.3608</v>
      </c>
      <c r="F79" s="112" t="n">
        <f aca="false">1-E79</f>
        <v>0.6392</v>
      </c>
    </row>
    <row r="80" customFormat="false" ht="15" hidden="false" customHeight="false" outlineLevel="0" collapsed="false">
      <c r="B80" s="91"/>
      <c r="E80" s="93"/>
    </row>
    <row r="81" customFormat="false" ht="15" hidden="false" customHeight="false" outlineLevel="0" collapsed="false">
      <c r="B81" s="91" t="s">
        <v>73</v>
      </c>
      <c r="D81" s="0" t="s">
        <v>74</v>
      </c>
      <c r="E81" s="93" t="n">
        <v>839</v>
      </c>
    </row>
    <row r="82" customFormat="false" ht="15" hidden="false" customHeight="false" outlineLevel="0" collapsed="false">
      <c r="B82" s="91" t="s">
        <v>75</v>
      </c>
      <c r="D82" s="0" t="s">
        <v>74</v>
      </c>
      <c r="E82" s="98" t="n">
        <f aca="false">E70*E81</f>
        <v>112426</v>
      </c>
    </row>
    <row r="83" customFormat="false" ht="15" hidden="false" customHeight="false" outlineLevel="0" collapsed="false">
      <c r="B83" s="91" t="s">
        <v>101</v>
      </c>
      <c r="D83" s="0" t="s">
        <v>74</v>
      </c>
      <c r="E83" s="98" t="n">
        <f aca="false">C65*E56</f>
        <v>41978</v>
      </c>
    </row>
    <row r="84" customFormat="false" ht="15" hidden="false" customHeight="false" outlineLevel="0" collapsed="false">
      <c r="B84" s="94" t="s">
        <v>102</v>
      </c>
      <c r="C84" s="95"/>
      <c r="D84" s="95" t="s">
        <v>74</v>
      </c>
      <c r="E84" s="101" t="n">
        <f aca="false">SUM(E82:E83)</f>
        <v>154404</v>
      </c>
    </row>
  </sheetData>
  <mergeCells count="7">
    <mergeCell ref="B5:E5"/>
    <mergeCell ref="B15:E15"/>
    <mergeCell ref="B29:E29"/>
    <mergeCell ref="B48:E48"/>
    <mergeCell ref="B53:E53"/>
    <mergeCell ref="B58:E58"/>
    <mergeCell ref="B63:E63"/>
  </mergeCells>
  <printOptions headings="false" gridLines="false" gridLinesSet="true" horizontalCentered="false" verticalCentered="false"/>
  <pageMargins left="0.511805555555555" right="0.511805555555555" top="1.18125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501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2018-12-13T13:58:14Z</dcterms:created>
  <dc:creator>FERNANDA LELES GOMES</dc:creator>
  <dc:description/>
  <dc:language>pt-BR</dc:language>
  <cp:lastModifiedBy>Residencial</cp:lastModifiedBy>
  <cp:lastPrinted>2020-09-11T18:18:56Z</cp:lastPrinted>
  <dcterms:modified xsi:type="dcterms:W3CDTF">2020-09-11T18:19:31Z</dcterms:modified>
  <cp:revision>80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