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DE\PROJETOS\CONTRATAÇÃO PROJETOS 2020\ETP\"/>
    </mc:Choice>
  </mc:AlternateContent>
  <bookViews>
    <workbookView xWindow="0" yWindow="0" windowWidth="28800" windowHeight="12210" tabRatio="884" activeTab="1"/>
  </bookViews>
  <sheets>
    <sheet name="CAPA" sheetId="21" r:id="rId1"/>
    <sheet name="B1-Sintético" sheetId="40" r:id="rId2"/>
    <sheet name="B2-Composições" sheetId="44" r:id="rId3"/>
    <sheet name="B3-Resumo" sheetId="48" r:id="rId4"/>
    <sheet name="B4a-Fator-K" sheetId="25" r:id="rId5"/>
    <sheet name="B4b-Det. K1" sheetId="26" r:id="rId6"/>
    <sheet name="B4c-Det. K2 e K3" sheetId="54" r:id="rId7"/>
    <sheet name="B4d-EC" sheetId="29" r:id="rId8"/>
  </sheets>
  <externalReferences>
    <externalReference r:id="rId9"/>
  </externalReferences>
  <definedNames>
    <definedName name="_xlnm._FilterDatabase" localSheetId="2" hidden="1">'B2-Composições'!$B$6:$H$48</definedName>
    <definedName name="AAP">[1]TAB.REMUNERAÇÃO!$F$27</definedName>
    <definedName name="AEQ">[1]TAB.REMUNERAÇÃO!$F$28</definedName>
    <definedName name="AEX">[1]TAB.REMUNERAÇÃO!$F$23</definedName>
    <definedName name="APD">[1]TAB.REMUNERAÇÃO!$F$20</definedName>
    <definedName name="APR">[1]TAB.REMUNERAÇÃO!$F$17</definedName>
    <definedName name="APT">[1]TAB.REMUNERAÇÃO!$F$21</definedName>
    <definedName name="_xlnm.Print_Area" localSheetId="1">'B1-Sintético'!$A$1:$H$21</definedName>
    <definedName name="_xlnm.Print_Area" localSheetId="2">'B2-Composições'!$A$1:$I$80</definedName>
    <definedName name="_xlnm.Print_Area" localSheetId="3">'B3-Resumo'!$A$1:$G$49</definedName>
    <definedName name="_xlnm.Print_Area" localSheetId="4">'B4a-Fator-K'!$A$1:$D$31</definedName>
    <definedName name="_xlnm.Print_Area" localSheetId="5">'B4b-Det. K1'!$A$1:$E$43</definedName>
    <definedName name="_xlnm.Print_Area" localSheetId="7">'B4d-EC'!$A$1:$F$18</definedName>
    <definedName name="_xlnm.Print_Area" localSheetId="0">CAPA!$A$1:$M$22</definedName>
    <definedName name="ATE">[1]TAB.REMUNERAÇÃO!$F$16</definedName>
    <definedName name="ATO">[1]TAB.REMUNERAÇÃO!$F$29</definedName>
    <definedName name="ATP">[1]TAB.REMUNERAÇÃO!$F$27</definedName>
    <definedName name="FatorK1">'B4a-Fator-K'!$C$8</definedName>
    <definedName name="FatorK2">'B4a-Fator-K'!$C$11</definedName>
    <definedName name="FatorK3">'B4a-Fator-K'!$C$14</definedName>
    <definedName name="FatorK4">'B4a-Fator-K'!$C$21</definedName>
    <definedName name="HR_AMB">[1]TAB.REMUNERAÇÃO!$D$7</definedName>
    <definedName name="HR_ARQ">[1]TAB.REMUNERAÇÃO!$D$8</definedName>
    <definedName name="HR_CERT">[1]TAB.REMUNERAÇÃO!$D$11</definedName>
    <definedName name="HR_COMP">[1]TAB.REMUNERAÇÃO!$D$9</definedName>
    <definedName name="HR_GEO">[1]TAB.REMUNERAÇÃO!$D$6</definedName>
    <definedName name="HR_PLAN">[1]TAB.REMUNERAÇÃO!$D$12</definedName>
    <definedName name="HR_REF">[1]TAB.REMUNERAÇÃO!$D$10</definedName>
    <definedName name="HR_TOP">[1]TAB.REMUNERAÇÃO!$D$5</definedName>
    <definedName name="P_AEX">[1]TAB.REMUNERAÇÃO!$E$23</definedName>
    <definedName name="P_AGR">[1]TAB.REMUNERAÇÃO!$E$25</definedName>
    <definedName name="P_APD">[1]TAB.REMUNERAÇÃO!$E$20</definedName>
    <definedName name="P_APT">[1]TAB.REMUNERAÇÃO!$E$21</definedName>
    <definedName name="P_APV">[1]TAB.REMUNERAÇÃO!$E$24</definedName>
    <definedName name="TAB_INSUMOS">'B2-Composições'!$C$56:$H$69</definedName>
  </definedNames>
  <calcPr calcId="162913" iterate="1"/>
</workbook>
</file>

<file path=xl/calcChain.xml><?xml version="1.0" encoding="utf-8"?>
<calcChain xmlns="http://schemas.openxmlformats.org/spreadsheetml/2006/main">
  <c r="H58" i="44" l="1"/>
  <c r="C8" i="40"/>
  <c r="F38" i="44" l="1"/>
  <c r="F22" i="44"/>
  <c r="D9" i="44"/>
  <c r="D13" i="44"/>
  <c r="D12" i="44"/>
  <c r="D24" i="44" l="1"/>
  <c r="D25" i="44"/>
  <c r="D26" i="44"/>
  <c r="D27" i="44"/>
  <c r="D28" i="44"/>
  <c r="D29" i="44"/>
  <c r="F7" i="44" l="1"/>
  <c r="K13" i="44" l="1"/>
  <c r="K12" i="44"/>
  <c r="K9" i="44"/>
  <c r="D8" i="40"/>
  <c r="D9" i="40"/>
  <c r="D10" i="40"/>
  <c r="D14" i="48" l="1"/>
  <c r="K19" i="44"/>
  <c r="K18" i="44"/>
  <c r="K15" i="44"/>
  <c r="K14" i="44"/>
  <c r="D17" i="48"/>
  <c r="F44" i="44"/>
  <c r="F16" i="44"/>
  <c r="K16" i="44" s="1"/>
  <c r="K11" i="44"/>
  <c r="D20" i="48" s="1"/>
  <c r="K10" i="44"/>
  <c r="D15" i="48" s="1"/>
  <c r="K8" i="44"/>
  <c r="C17" i="48"/>
  <c r="H66" i="44"/>
  <c r="G12" i="44" s="1"/>
  <c r="H12" i="44" s="1"/>
  <c r="C19" i="48"/>
  <c r="D41" i="44"/>
  <c r="D40" i="44"/>
  <c r="D39" i="44"/>
  <c r="D11" i="44"/>
  <c r="C20" i="48" s="1"/>
  <c r="H68" i="44"/>
  <c r="G13" i="44" s="1"/>
  <c r="H13" i="44" s="1"/>
  <c r="H69" i="44"/>
  <c r="G11" i="44" s="1"/>
  <c r="H11" i="44" s="1"/>
  <c r="C9" i="40"/>
  <c r="D10" i="44"/>
  <c r="C15" i="48" s="1"/>
  <c r="H64" i="44"/>
  <c r="G10" i="44" s="1"/>
  <c r="H10" i="44" s="1"/>
  <c r="D8" i="44"/>
  <c r="C10" i="40"/>
  <c r="H63" i="44"/>
  <c r="G9" i="44" s="1"/>
  <c r="H9" i="44" s="1"/>
  <c r="C14" i="48"/>
  <c r="L13" i="44" l="1"/>
  <c r="L12" i="44"/>
  <c r="L9" i="44"/>
  <c r="G40" i="44"/>
  <c r="H40" i="44" s="1"/>
  <c r="E20" i="48"/>
  <c r="F20" i="48" s="1"/>
  <c r="L11" i="44"/>
  <c r="E17" i="48"/>
  <c r="F17" i="48" s="1"/>
  <c r="L10" i="44"/>
  <c r="E15" i="48"/>
  <c r="F15" i="48" s="1"/>
  <c r="E19" i="48" l="1"/>
  <c r="C18" i="48"/>
  <c r="C16" i="48"/>
  <c r="D23" i="44"/>
  <c r="F32" i="44"/>
  <c r="C13" i="48"/>
  <c r="H59" i="44"/>
  <c r="G24" i="44" s="1"/>
  <c r="H24" i="44" s="1"/>
  <c r="H60" i="44"/>
  <c r="G25" i="44" s="1"/>
  <c r="H25" i="44" s="1"/>
  <c r="H61" i="44"/>
  <c r="G26" i="44" s="1"/>
  <c r="H26" i="44" s="1"/>
  <c r="H62" i="44"/>
  <c r="G27" i="44" s="1"/>
  <c r="H27" i="44" s="1"/>
  <c r="H65" i="44"/>
  <c r="G29" i="44" s="1"/>
  <c r="H29" i="44" s="1"/>
  <c r="H67" i="44"/>
  <c r="G28" i="44" s="1"/>
  <c r="H28" i="44" s="1"/>
  <c r="H57" i="44"/>
  <c r="G23" i="44" s="1"/>
  <c r="E18" i="48" l="1"/>
  <c r="G41" i="44"/>
  <c r="G39" i="44"/>
  <c r="G8" i="44"/>
  <c r="E16" i="48"/>
  <c r="H23" i="44"/>
  <c r="E13" i="48"/>
  <c r="H39" i="44" l="1"/>
  <c r="H41" i="44"/>
  <c r="H8" i="44"/>
  <c r="L8" i="44"/>
  <c r="E14" i="48"/>
  <c r="F14" i="48" s="1"/>
  <c r="B15" i="54" l="1"/>
  <c r="C10" i="25" s="1"/>
  <c r="B20" i="54"/>
  <c r="C13" i="25" s="1"/>
  <c r="D43" i="48" l="1"/>
  <c r="D42" i="48"/>
  <c r="D41" i="48"/>
  <c r="C29" i="48"/>
  <c r="C11" i="48" l="1"/>
  <c r="C9" i="48"/>
  <c r="C10" i="48" l="1"/>
  <c r="C12" i="48"/>
  <c r="E8" i="29" l="1"/>
  <c r="E9" i="29"/>
  <c r="E10" i="29"/>
  <c r="E7" i="29"/>
  <c r="E11" i="29" l="1"/>
  <c r="G44" i="44" l="1"/>
  <c r="H44" i="44" s="1"/>
  <c r="G16" i="44"/>
  <c r="E29" i="48" s="1"/>
  <c r="G32" i="44"/>
  <c r="H32" i="44" s="1"/>
  <c r="E9" i="48"/>
  <c r="E11" i="48"/>
  <c r="E12" i="48"/>
  <c r="E10" i="48"/>
  <c r="C14" i="25"/>
  <c r="C11" i="25"/>
  <c r="D34" i="48" l="1"/>
  <c r="F43" i="44"/>
  <c r="G43" i="44" s="1"/>
  <c r="H43" i="44" s="1"/>
  <c r="F15" i="44"/>
  <c r="G15" i="44" s="1"/>
  <c r="F31" i="44"/>
  <c r="G31" i="44" s="1"/>
  <c r="H31" i="44" s="1"/>
  <c r="F18" i="44"/>
  <c r="F46" i="44"/>
  <c r="F34" i="44"/>
  <c r="L16" i="44"/>
  <c r="H16" i="44"/>
  <c r="D38" i="48"/>
  <c r="C17" i="25"/>
  <c r="C16" i="25"/>
  <c r="L15" i="44" l="1"/>
  <c r="H15" i="44"/>
  <c r="D39" i="26"/>
  <c r="D35" i="26"/>
  <c r="D28" i="26"/>
  <c r="D16" i="26"/>
  <c r="D40" i="26" l="1"/>
  <c r="C7" i="25" s="1"/>
  <c r="C8" i="25" s="1"/>
  <c r="F14" i="44" l="1"/>
  <c r="G14" i="44" s="1"/>
  <c r="F42" i="44"/>
  <c r="G42" i="44" s="1"/>
  <c r="H42" i="44" s="1"/>
  <c r="H45" i="44" s="1"/>
  <c r="G46" i="44" s="1"/>
  <c r="H46" i="44" s="1"/>
  <c r="F30" i="44"/>
  <c r="G30" i="44" s="1"/>
  <c r="L14" i="44" l="1"/>
  <c r="H14" i="44"/>
  <c r="H17" i="44" s="1"/>
  <c r="G18" i="44" s="1"/>
  <c r="H30" i="44"/>
  <c r="H33" i="44" s="1"/>
  <c r="L18" i="44" l="1"/>
  <c r="H18" i="44"/>
  <c r="G34" i="44"/>
  <c r="H34" i="44" l="1"/>
  <c r="C19" i="25" l="1"/>
  <c r="C21" i="25" s="1"/>
  <c r="F19" i="44" l="1"/>
  <c r="G19" i="44" s="1"/>
  <c r="F47" i="44"/>
  <c r="G47" i="44" s="1"/>
  <c r="H47" i="44" s="1"/>
  <c r="H48" i="44" s="1"/>
  <c r="G38" i="44" s="1"/>
  <c r="F10" i="40" s="1"/>
  <c r="F35" i="44"/>
  <c r="G35" i="44" s="1"/>
  <c r="H35" i="44" s="1"/>
  <c r="H36" i="44" s="1"/>
  <c r="G22" i="44" s="1"/>
  <c r="F9" i="40" s="1"/>
  <c r="C23" i="25"/>
  <c r="H19" i="44" l="1"/>
  <c r="H20" i="44" s="1"/>
  <c r="G7" i="44" s="1"/>
  <c r="F8" i="40" s="1"/>
  <c r="L19" i="44"/>
  <c r="M20" i="44" s="1"/>
  <c r="G9" i="40" l="1"/>
  <c r="G8" i="40"/>
  <c r="H7" i="44"/>
  <c r="G10" i="40"/>
  <c r="K24" i="44" l="1"/>
  <c r="D10" i="48" s="1"/>
  <c r="F10" i="48" s="1"/>
  <c r="K26" i="44"/>
  <c r="K25" i="44"/>
  <c r="L25" i="44" s="1"/>
  <c r="K27" i="44"/>
  <c r="H22" i="44"/>
  <c r="K34" i="44"/>
  <c r="L34" i="44" s="1"/>
  <c r="K28" i="44"/>
  <c r="L28" i="44" s="1"/>
  <c r="K32" i="44"/>
  <c r="L32" i="44" s="1"/>
  <c r="K31" i="44"/>
  <c r="L31" i="44" s="1"/>
  <c r="K30" i="44"/>
  <c r="L30" i="44" s="1"/>
  <c r="K23" i="44"/>
  <c r="L23" i="44" s="1"/>
  <c r="K35" i="44"/>
  <c r="L35" i="44" s="1"/>
  <c r="K29" i="44"/>
  <c r="L29" i="44" s="1"/>
  <c r="D16" i="48" l="1"/>
  <c r="F16" i="48" s="1"/>
  <c r="L24" i="44"/>
  <c r="L26" i="44"/>
  <c r="D12" i="48"/>
  <c r="F12" i="48" s="1"/>
  <c r="L27" i="44"/>
  <c r="D13" i="48"/>
  <c r="F13" i="48" s="1"/>
  <c r="H38" i="44"/>
  <c r="M36" i="44" l="1"/>
  <c r="D9" i="48"/>
  <c r="F9" i="48" s="1"/>
  <c r="K47" i="44"/>
  <c r="L47" i="44" s="1"/>
  <c r="K42" i="44"/>
  <c r="L42" i="44" s="1"/>
  <c r="K40" i="44"/>
  <c r="L40" i="44" s="1"/>
  <c r="K44" i="44"/>
  <c r="G11" i="40"/>
  <c r="K46" i="44"/>
  <c r="L46" i="44" s="1"/>
  <c r="K43" i="44"/>
  <c r="L43" i="44" s="1"/>
  <c r="K41" i="44"/>
  <c r="K39" i="44"/>
  <c r="L44" i="44" l="1"/>
  <c r="D29" i="48"/>
  <c r="F29" i="48" s="1"/>
  <c r="F30" i="48" s="1"/>
  <c r="D19" i="48"/>
  <c r="F19" i="48" s="1"/>
  <c r="D18" i="48"/>
  <c r="F18" i="48" s="1"/>
  <c r="L41" i="44"/>
  <c r="L39" i="44"/>
  <c r="D11" i="48"/>
  <c r="F11" i="48" s="1"/>
  <c r="M48" i="44" l="1"/>
  <c r="M51" i="44" s="1"/>
  <c r="F21" i="48"/>
  <c r="F24" i="48" s="1"/>
  <c r="F26" i="48" s="1"/>
  <c r="F35" i="48" l="1"/>
  <c r="F39" i="48" s="1"/>
  <c r="F31" i="48"/>
  <c r="F41" i="48"/>
  <c r="F42" i="48"/>
  <c r="F43" i="48"/>
  <c r="F45" i="48"/>
  <c r="F48" i="48"/>
</calcChain>
</file>

<file path=xl/sharedStrings.xml><?xml version="1.0" encoding="utf-8"?>
<sst xmlns="http://schemas.openxmlformats.org/spreadsheetml/2006/main" count="352" uniqueCount="247">
  <si>
    <t>ITEM</t>
  </si>
  <si>
    <t>DISCRIMINAÇÃO</t>
  </si>
  <si>
    <t>%</t>
  </si>
  <si>
    <t>DESCRIÇÃO</t>
  </si>
  <si>
    <t>Descrição</t>
  </si>
  <si>
    <t>TRIBUNAL REGIONAL DO TRABALHO DA 18ª REGIÃO</t>
  </si>
  <si>
    <t>DATA DO ORÇAMENTO</t>
  </si>
  <si>
    <t>DADOS GERAIS DO ORÇAMENTO</t>
  </si>
  <si>
    <t>(atualizar com Control+ponto e virgula)</t>
  </si>
  <si>
    <t>SECRETARIA DE MANUTENÇÃO E PROJETOS</t>
  </si>
  <si>
    <t>DIVISÃO DE ENGENHARIA</t>
  </si>
  <si>
    <t>(CÓDIGO TRIBUTÁRIO DO MUNICÍPIO) ISSQN</t>
  </si>
  <si>
    <t>( 1 – I )</t>
  </si>
  <si>
    <t>TABELA UTILIZADA</t>
  </si>
  <si>
    <t>(CONFORME DECRETO 7983/13)</t>
  </si>
  <si>
    <t>(publicação oficial www.caixa.gov.br/sinapi)</t>
  </si>
  <si>
    <t>PLANILHA ORÇAMENTÁRIA DE REFERÊNCIA</t>
  </si>
  <si>
    <t>A4</t>
  </si>
  <si>
    <t>Código</t>
  </si>
  <si>
    <t>C1</t>
  </si>
  <si>
    <t>A1</t>
  </si>
  <si>
    <t>E1</t>
  </si>
  <si>
    <t>E2</t>
  </si>
  <si>
    <t>GOIÂNIA</t>
  </si>
  <si>
    <t>SEM DESONERAÇÃO</t>
  </si>
  <si>
    <t>REF. MUNICIPIO GOIÂNIA - SEM DESONERAÇÃO</t>
  </si>
  <si>
    <t>Encargo</t>
  </si>
  <si>
    <t>ALIMENTACAO - MENSALISTA (ENCARGOS COMPLEMENTARES) (COLETADO CAIXA)</t>
  </si>
  <si>
    <t>SEGURO - MENSALISTA (ENCARGOS COMPLEMENTARES) (COLETADO CAIXA)</t>
  </si>
  <si>
    <t>EXAMES - MENSALISTA (ENCARGOS COMPLEMENTARES) (COLETADO CAIXA)</t>
  </si>
  <si>
    <t>TRANSPORTE - MENSALISTA (ENCARGOS COMPLEMENTARES) (COLETADO CAIXA)</t>
  </si>
  <si>
    <t>Custo Mensal</t>
  </si>
  <si>
    <t>Custo Horário*</t>
  </si>
  <si>
    <t>TOTAL</t>
  </si>
  <si>
    <t>Código/Referência</t>
  </si>
  <si>
    <t>NOTAS</t>
  </si>
  <si>
    <t>- Baseou-se na metodologia do SINAPI, descrita no Livro de Metodologias e Conceitos do SINAPI, publicação da CEF</t>
  </si>
  <si>
    <t>e disponibilizado em www.caixa.gov.br/sinapi</t>
  </si>
  <si>
    <t>SERVIÇOS DE CONSULTORIA EM ENGENHARIA</t>
  </si>
  <si>
    <t>SERVIÇO</t>
  </si>
  <si>
    <t>CIDADE DE PRESTAÇÃO</t>
  </si>
  <si>
    <t>CUSTO UNITARIO</t>
  </si>
  <si>
    <t>PREÇO UNITÁRIO</t>
  </si>
  <si>
    <t>Notas Técnicas</t>
  </si>
  <si>
    <t>A2</t>
  </si>
  <si>
    <t>E3</t>
  </si>
  <si>
    <t>- Ref. Indica "Referência de Custo"</t>
  </si>
  <si>
    <t>1 - MÃO DE OBRA LOTADA EM ESCRITÓRIO</t>
  </si>
  <si>
    <t>UNIDADE</t>
  </si>
  <si>
    <t>A3</t>
  </si>
  <si>
    <t>A5</t>
  </si>
  <si>
    <t>A6</t>
  </si>
  <si>
    <t>A7</t>
  </si>
  <si>
    <t>A8</t>
  </si>
  <si>
    <t>A9</t>
  </si>
  <si>
    <t>A</t>
  </si>
  <si>
    <t>INSS</t>
  </si>
  <si>
    <t>SESI</t>
  </si>
  <si>
    <t>SENAI</t>
  </si>
  <si>
    <t>INCRA</t>
  </si>
  <si>
    <t>SEBRAE</t>
  </si>
  <si>
    <t>SALÁRIO EDUCAÇÃO</t>
  </si>
  <si>
    <t>SEGURO CONTRA ACIDENTES DO TRABALHO</t>
  </si>
  <si>
    <t xml:space="preserve">FGTS </t>
  </si>
  <si>
    <t>Total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</si>
  <si>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</si>
  <si>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</si>
  <si>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</si>
  <si>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</si>
  <si>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</si>
  <si>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</si>
  <si>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</si>
  <si>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</si>
  <si>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</si>
  <si>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</si>
  <si>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Repouso semanal remunerado</t>
  </si>
  <si>
    <t>Feriados</t>
  </si>
  <si>
    <t>Auxílio Enfermidade</t>
  </si>
  <si>
    <t>13º salário</t>
  </si>
  <si>
    <t>Licença Paternidade</t>
  </si>
  <si>
    <t>Faltas Justificadas</t>
  </si>
  <si>
    <t>Dias de Chuvas</t>
  </si>
  <si>
    <t>Auxílio Acidente de Trabalho</t>
  </si>
  <si>
    <t>Férias gozadas</t>
  </si>
  <si>
    <t>Salário maternidade</t>
  </si>
  <si>
    <t>B</t>
  </si>
  <si>
    <t>GRUPO A</t>
  </si>
  <si>
    <t>C2</t>
  </si>
  <si>
    <t>C3</t>
  </si>
  <si>
    <t>C4</t>
  </si>
  <si>
    <t>C5</t>
  </si>
  <si>
    <t>Aviso prévio indenizado</t>
  </si>
  <si>
    <t>Aviso prévio trabalhado</t>
  </si>
  <si>
    <t>Férias indenizadas</t>
  </si>
  <si>
    <t>Depósito rescisão sem justa causa</t>
  </si>
  <si>
    <t>Indenização adicional</t>
  </si>
  <si>
    <t>C</t>
  </si>
  <si>
    <t>GRUPO B</t>
  </si>
  <si>
    <t>GRUPO C</t>
  </si>
  <si>
    <t>GRUPO D</t>
  </si>
  <si>
    <t>D1</t>
  </si>
  <si>
    <t>D2</t>
  </si>
  <si>
    <t>D</t>
  </si>
  <si>
    <t>Reincidência do Grupo A sobre o Grupo B</t>
  </si>
  <si>
    <t>Reincidência de Grupo A sobre Aviso Prévio Trabalhado e Reincidência do FGTS sobre Aviso prévio Indenizado</t>
  </si>
  <si>
    <t>TOTAL (A+B+C+D)</t>
  </si>
  <si>
    <t>PIS (regime de lucro real)</t>
  </si>
  <si>
    <t>COFINS (regime de lucro real)</t>
  </si>
  <si>
    <t>H</t>
  </si>
  <si>
    <t>PARCIAL</t>
  </si>
  <si>
    <t>Preço de venda</t>
  </si>
  <si>
    <t>Total dos custos diretos e indiretos</t>
  </si>
  <si>
    <t>k1</t>
  </si>
  <si>
    <t>k2</t>
  </si>
  <si>
    <t>k3</t>
  </si>
  <si>
    <t>k4</t>
  </si>
  <si>
    <t>Administração Central / overhead, incidente sobre custo direto com mão de obra</t>
  </si>
  <si>
    <t>Remuneração bruta</t>
  </si>
  <si>
    <t>Encargos sociais mensalista (ES)</t>
  </si>
  <si>
    <t>ENCARGOS SOCIAIS</t>
  </si>
  <si>
    <t>k1 =</t>
  </si>
  <si>
    <t>k2 =</t>
  </si>
  <si>
    <t>k3 =</t>
  </si>
  <si>
    <t>k4 =</t>
  </si>
  <si>
    <t>K = (1+k1)(1+k2)(1+k3)(1+k4)</t>
  </si>
  <si>
    <t>Encargos complementares (alimentação, transporte, exames, seguro, epi)</t>
  </si>
  <si>
    <t>QTD</t>
  </si>
  <si>
    <t>EC</t>
  </si>
  <si>
    <t>- Utilizou-se o divisor de 220 para encontrar o custo horário.</t>
  </si>
  <si>
    <t>Insumo 40862/Sinapi</t>
  </si>
  <si>
    <t>Insumo 40864/Sinapi</t>
  </si>
  <si>
    <t>Insumo 40863/Sinapi</t>
  </si>
  <si>
    <t>Insumo 40861/Sinapi</t>
  </si>
  <si>
    <t>- O custo horário sem encargos é calculado como: C = Custo_Mensal/(1+ES)/220, onde ES é o percentual de encargos sociais considerado.</t>
  </si>
  <si>
    <t>- O custo horário sem encargos é computado pois a metodologia do fator K aplica os encargos sociais posteriormente, no fator K1</t>
  </si>
  <si>
    <t>- Os nivel salarial adotado baseou-se nos padrões salariais semelhantes existentes no SINAPI, tendo em vista que o sistema não disponibiliza</t>
  </si>
  <si>
    <t>salarios para todas as funções em tela.</t>
  </si>
  <si>
    <t>QTD TOTAL</t>
  </si>
  <si>
    <t>PERCENTUAL</t>
  </si>
  <si>
    <t>NOTAS:</t>
  </si>
  <si>
    <t>- PIS e COFINS consideraram beneficio fiscal de 20%, por recomendação</t>
  </si>
  <si>
    <t>do TCU</t>
  </si>
  <si>
    <t>- ISSQN do Código Tributario do Municipio de Goiânia</t>
  </si>
  <si>
    <t>Custo Unitário</t>
  </si>
  <si>
    <t>Custo Total</t>
  </si>
  <si>
    <t>Quantidade Total</t>
  </si>
  <si>
    <t>A - Mão de Obra</t>
  </si>
  <si>
    <t>B - Outros gastos</t>
  </si>
  <si>
    <t xml:space="preserve">TOTAL B = </t>
  </si>
  <si>
    <t>C - Administração (overhead)</t>
  </si>
  <si>
    <t>D - Remuneração bruta da empresa</t>
  </si>
  <si>
    <t>TOTAL C =</t>
  </si>
  <si>
    <t>A.2 - Encargos Sociais</t>
  </si>
  <si>
    <t>ES</t>
  </si>
  <si>
    <t>Total A1</t>
  </si>
  <si>
    <t>Total A2</t>
  </si>
  <si>
    <t>E - Despesas fiscais</t>
  </si>
  <si>
    <t>TOTAL DOS CUSTOS DIRETOS</t>
  </si>
  <si>
    <t>sobre A1</t>
  </si>
  <si>
    <t>TOTAL D =</t>
  </si>
  <si>
    <t>sobre (A+B+C)</t>
  </si>
  <si>
    <t>PIS</t>
  </si>
  <si>
    <t>COFINS</t>
  </si>
  <si>
    <t>ISS</t>
  </si>
  <si>
    <t>TOTAL DO ORÇAMENTO</t>
  </si>
  <si>
    <t>TOTAL E =</t>
  </si>
  <si>
    <t>74,51% do A1</t>
  </si>
  <si>
    <t>de A+B+C+D+E</t>
  </si>
  <si>
    <t xml:space="preserve">(A1+A2) TOTAL A </t>
  </si>
  <si>
    <t>TAXA</t>
  </si>
  <si>
    <t>Custos de Capacitação e Atualização Técnica</t>
  </si>
  <si>
    <t>Assinatura de Publicações Especializadas</t>
  </si>
  <si>
    <t>Manutenção e Automação do Acervo Técnico</t>
  </si>
  <si>
    <t>Custos de Acesso a Banco de Dados Computadorizados Nacionais/Estrangeiros</t>
  </si>
  <si>
    <t>Mão de Obra Administrativa e Treinamento de Recursos Humanos</t>
  </si>
  <si>
    <t>Desenvolvimento Comercial</t>
  </si>
  <si>
    <t>Despesas Legais, Bancos e Seguros</t>
  </si>
  <si>
    <t>Comunicação (telefone, fax, malote)</t>
  </si>
  <si>
    <t>Honorários (Contadores, Advogados, Auditores)</t>
  </si>
  <si>
    <t>Outras Despesas</t>
  </si>
  <si>
    <t>CUSTOS ADMINISTRATIVOS (ver detalhamento)</t>
  </si>
  <si>
    <t>PLANILHA DE REMUNERAÇÃO DA EMPRESA (k3)</t>
  </si>
  <si>
    <t>PLANILHA DE CUSTOS ADMINISTRATTIVOS (k2)</t>
  </si>
  <si>
    <t xml:space="preserve"> REMUNERAÇÃO BRUTA 
(ver detalhamento)</t>
  </si>
  <si>
    <t>R$ TOTAL</t>
  </si>
  <si>
    <t>- Os custos atendem às disposições do Decreto 7983/2013 e Resolução 070 CSJT</t>
  </si>
  <si>
    <t>- O detalhamento dos custos encontra-se no Quadro C.2 (Composições Analíticas)</t>
  </si>
  <si>
    <t>% encargos</t>
  </si>
  <si>
    <t>Custo horário sem encargos</t>
  </si>
  <si>
    <t>Divisor Horário</t>
  </si>
  <si>
    <t>ARQ</t>
  </si>
  <si>
    <t>DES</t>
  </si>
  <si>
    <t>MEC</t>
  </si>
  <si>
    <t>ELE</t>
  </si>
  <si>
    <t>CIV</t>
  </si>
  <si>
    <t>GER</t>
  </si>
  <si>
    <t>Custo mensal
(c/ Encargos)</t>
  </si>
  <si>
    <t>Impostos ( k4 = 1/(1-i) - 1)</t>
  </si>
  <si>
    <t>QUANTIDADE ESTIMADA</t>
  </si>
  <si>
    <t>Gerente de projetos (Engenheiro ou Arquiteto Sênior) - Ref. 40938 Sinapi - mensalista</t>
  </si>
  <si>
    <t>Engenheiro Pleno (Civil) Ref. 40937 Sinapi - mensalista</t>
  </si>
  <si>
    <t>Engenheiro Pleno (Elétrica) Ref. 40939 Sinapi - mensalista</t>
  </si>
  <si>
    <t>Engenheiro Pleno (Mecânica) - Ref. 40939 Sinapi - mensalista</t>
  </si>
  <si>
    <t>Desenhista/Cadista - Ref. 40807 - mensalista</t>
  </si>
  <si>
    <t>Arquiteto Sênior - Ref. 40817 Sinapi -  mensalista</t>
  </si>
  <si>
    <t>Desenhista auxiliar - Ref. 40808 - mensalista</t>
  </si>
  <si>
    <t>INSUMOS</t>
  </si>
  <si>
    <t>SECONCI (não se aplica)</t>
  </si>
  <si>
    <t>AMB</t>
  </si>
  <si>
    <t>Engenheiro Ambiental - Ref. 40937 Sinapi - mensalista</t>
  </si>
  <si>
    <t>TOP</t>
  </si>
  <si>
    <t>Topógrafo - Ref 40820 Sinapi - mensalista</t>
  </si>
  <si>
    <t>AUXTOP</t>
  </si>
  <si>
    <t>Auxiliar técnico de engenharia - Ref. 40931 - mensalista</t>
  </si>
  <si>
    <t>AUXTEC</t>
  </si>
  <si>
    <t>AUXDES</t>
  </si>
  <si>
    <t>Auxiliar de topógrafo - Ref. 41093 - mensalista</t>
  </si>
  <si>
    <t>SON</t>
  </si>
  <si>
    <t>Técnico em sondagem - Ref 41092 - mensalista</t>
  </si>
  <si>
    <t>A.1 - Honorários equipe técnica e administrativa</t>
  </si>
  <si>
    <t>TOTAL =</t>
  </si>
  <si>
    <t>GERAL</t>
  </si>
  <si>
    <t>*atenção, as fórmulas não são as mesmas (NÃO ARRASTE)</t>
  </si>
  <si>
    <t>ÁREA NÃO IMPRESSA (APENAS AUXILIAR PARA RESUMO)</t>
  </si>
  <si>
    <t xml:space="preserve">Mensalistas - sem desoneração </t>
  </si>
  <si>
    <t>Fonte: Caixa econômica federal, adaptado (vigência a partir de 08/2017)</t>
  </si>
  <si>
    <t>HT</t>
  </si>
  <si>
    <t>Lucro bruto</t>
  </si>
  <si>
    <t>- Os serviços atenderão às disposições do Termo de Referência e Memorial Descritivo</t>
  </si>
  <si>
    <t xml:space="preserve">- Foram observadas as orientações mais recentes do Tribunal de Contas da União para composição dos preços </t>
  </si>
  <si>
    <t>CON</t>
  </si>
  <si>
    <t>Consultor de projetos estruturais (Engenheiro com especialização ou mestrado em estruturas) - ref. 40938 sinapi - mensalista</t>
  </si>
  <si>
    <t>(instrução: APLICAR DESCONTOS NESTES CUSTOS MENSAIS, PARA QUE O DESCONTO SEJA REPLICADO NO RESTANTE DA PLANILHA)</t>
  </si>
  <si>
    <t>QUADRO B.4.b - Detalhamento dos encargos sociais (k1)</t>
  </si>
  <si>
    <t>QUADRO B.4.c - Detalhamento do k2 e k3</t>
  </si>
  <si>
    <t>TOTAL
ESTIMADO</t>
  </si>
  <si>
    <r>
      <t xml:space="preserve">- Os serviços serão contratados </t>
    </r>
    <r>
      <rPr>
        <b/>
        <sz val="11"/>
        <color theme="1"/>
        <rFont val="Calibri"/>
        <family val="2"/>
        <scheme val="minor"/>
      </rPr>
      <t>SOB DEMANDA</t>
    </r>
    <r>
      <rPr>
        <sz val="11"/>
        <color theme="1"/>
        <rFont val="Calibri"/>
        <family val="2"/>
        <scheme val="minor"/>
      </rPr>
      <t>, conforme necessidade da Administração.</t>
    </r>
  </si>
  <si>
    <t>- A remuneração dos serviços prestados utilizará os critérios do TR e da Tabela de Remuneração (ANEXO A)</t>
  </si>
  <si>
    <r>
      <t xml:space="preserve">CONTRATAÇÃO </t>
    </r>
    <r>
      <rPr>
        <b/>
        <sz val="11"/>
        <color theme="1"/>
        <rFont val="Calibri"/>
        <family val="2"/>
        <scheme val="minor"/>
      </rPr>
      <t>SOD DEMANDA</t>
    </r>
    <r>
      <rPr>
        <sz val="11"/>
        <color theme="1"/>
        <rFont val="Calibri"/>
        <family val="2"/>
        <scheme val="minor"/>
      </rPr>
      <t xml:space="preserve"> DE SERVIÇOS ESPECIALIZADOS DE ENGENHARIA E ARQUITETURA</t>
    </r>
  </si>
  <si>
    <t>TOTAL ESTIMADO GERAL</t>
  </si>
  <si>
    <t>Tabela utilizada: SINAPI ONERADO - setembro 2018</t>
  </si>
  <si>
    <t>TABELA DE REFERÊNCIA: SINAPI SETEMBRO/2018 SEM DESONERAÇÃO - GOIÂNIA</t>
  </si>
  <si>
    <t>Hora técnica, sob demanda, para planejamento de obras (orçamento e cronograma), inclusive custos diretos e indiretos</t>
  </si>
  <si>
    <t>Hora técnica, sob demanda, de serviços de estudos e projetos de arquitetura e engenharia (serviços, obras e reformas), inclusive custos diretos e indiretos</t>
  </si>
  <si>
    <t>SINAPI-JULHO/2019</t>
  </si>
  <si>
    <t xml:space="preserve"> - Tabela de referência: Sinapi Não Desonerado - Municipio: Goiânia - Julho 2019</t>
  </si>
  <si>
    <t>Hora técnica, sob demanda, de serviços de topografia/geotecnia/ambiental, inclusive custos diretos e indiretos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</si>
</sst>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&quot; R$ &quot;#,##0.00\ ;&quot;-R$ &quot;#,##0.00\ ;&quot; R$ -&quot;#\ ;@\ "/>
    <numFmt numFmtId="166" formatCode="&quot; R$ &quot;#,##0.00&quot; &quot;;&quot; R$ (&quot;#,##0.00&quot;)&quot;;&quot; R$ -&quot;#&quot; &quot;;@&quot; &quot;"/>
    <numFmt numFmtId="167" formatCode="[$R$-416]&quot; &quot;#,##0.00;[Red]&quot;-&quot;[$R$-416]&quot; &quot;#,##0.00"/>
    <numFmt numFmtId="168" formatCode="#,##0.00&quot; &quot;;&quot;-&quot;#,##0.00&quot; &quot;;&quot; -&quot;#&quot; &quot;;@&quot; &quot;"/>
    <numFmt numFmtId="169" formatCode="#,##0.00&quot; &quot;;&quot; (&quot;#,##0.00&quot;)&quot;;&quot; -&quot;#&quot; &quot;;@&quot; &quot;"/>
    <numFmt numFmtId="170" formatCode="#,##0.00\ ;\-#,##0.00\ ;&quot; -&quot;#\ ;@\ "/>
    <numFmt numFmtId="171" formatCode="_(* #,##0.00_);_(* \(#,##0.00\);_(* \-??_);_(@_)"/>
    <numFmt numFmtId="172" formatCode="#,##0.00\ ;&quot; (&quot;#,##0.00\);&quot; -&quot;#\ ;@\ "/>
    <numFmt numFmtId="173" formatCode="&quot; R$ &quot;#,##0.00\ ;&quot; R$ (&quot;#,##0.00\);&quot; R$ -&quot;#\ ;@\ "/>
    <numFmt numFmtId="174" formatCode="[$-416]General"/>
    <numFmt numFmtId="175" formatCode="&quot; = &quot;0.00"/>
    <numFmt numFmtId="176" formatCode="0.0%"/>
    <numFmt numFmtId="177" formatCode="&quot; = &quot;0.0000"/>
    <numFmt numFmtId="178" formatCode="0.00\ &quot;hrs&quot;"/>
    <numFmt numFmtId="179" formatCode="0.000"/>
    <numFmt numFmtId="180" formatCode="0\ &quot;h&quot;"/>
    <numFmt numFmtId="181" formatCode="&quot;R$&quot;\ #,##0.000"/>
  </numFmts>
  <fonts count="5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SimSun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1"/>
    </font>
    <font>
      <sz val="11"/>
      <color rgb="FF000000"/>
      <name val="Calibri1"/>
    </font>
    <font>
      <u/>
      <sz val="11"/>
      <color rgb="FF0000FF"/>
      <name val="Calibri1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8"/>
      <color rgb="FF333399"/>
      <name val="Cambria"/>
      <family val="1"/>
    </font>
    <font>
      <b/>
      <sz val="15"/>
      <color rgb="FF333399"/>
      <name val="Calibri"/>
      <family val="2"/>
    </font>
    <font>
      <b/>
      <sz val="11"/>
      <color rgb="FF000000"/>
      <name val="Courier New"/>
      <family val="3"/>
    </font>
    <font>
      <sz val="11"/>
      <color indexed="8"/>
      <name val="Calibri"/>
      <family val="2"/>
    </font>
    <font>
      <b/>
      <sz val="11"/>
      <name val="Courier New"/>
      <family val="3"/>
      <charset val="1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Arial2"/>
    </font>
    <font>
      <b/>
      <sz val="11"/>
      <color rgb="FF000000"/>
      <name val="Arial3"/>
    </font>
    <font>
      <b/>
      <sz val="14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1"/>
      <color theme="10"/>
      <name val="Calibri"/>
      <family val="2"/>
      <charset val="1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CC"/>
        <bgColor rgb="FFCCCCCC"/>
      </patternFill>
    </fill>
    <fill>
      <patternFill patternType="solid">
        <fgColor rgb="FFCCCCFF"/>
        <bgColor rgb="FFCCCCFF"/>
      </patternFill>
    </fill>
    <fill>
      <patternFill patternType="solid">
        <fgColor rgb="FFFF0000"/>
        <bgColor rgb="FFFF0000"/>
      </patternFill>
    </fill>
    <fill>
      <patternFill patternType="solid">
        <fgColor rgb="FFE6E6E6"/>
        <bgColor rgb="FFE6E6E6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rgb="FFC0C0C0"/>
        <bgColor rgb="FFC0C0C0"/>
      </patternFill>
    </fill>
    <fill>
      <patternFill patternType="solid">
        <fgColor rgb="FFB3B3B3"/>
        <bgColor rgb="FFB3B3B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33CCCC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2" fillId="0" borderId="0"/>
    <xf numFmtId="165" fontId="3" fillId="0" borderId="0" applyBorder="0" applyAlignment="0" applyProtection="0"/>
    <xf numFmtId="9" fontId="3" fillId="0" borderId="0" applyBorder="0" applyAlignment="0" applyProtection="0"/>
    <xf numFmtId="9" fontId="4" fillId="0" borderId="0" applyFont="0" applyFill="0" applyBorder="0" applyAlignment="0" applyProtection="0"/>
    <xf numFmtId="0" fontId="5" fillId="0" borderId="0"/>
    <xf numFmtId="4" fontId="6" fillId="0" borderId="1">
      <alignment horizontal="right" vertical="center" wrapText="1"/>
    </xf>
    <xf numFmtId="168" fontId="5" fillId="0" borderId="0"/>
    <xf numFmtId="166" fontId="7" fillId="0" borderId="0"/>
    <xf numFmtId="0" fontId="8" fillId="0" borderId="0"/>
    <xf numFmtId="0" fontId="5" fillId="0" borderId="0"/>
    <xf numFmtId="0" fontId="5" fillId="4" borderId="0"/>
    <xf numFmtId="0" fontId="9" fillId="0" borderId="0">
      <alignment horizontal="center"/>
    </xf>
    <xf numFmtId="0" fontId="9" fillId="0" borderId="0">
      <alignment horizontal="center" textRotation="90"/>
    </xf>
    <xf numFmtId="9" fontId="6" fillId="0" borderId="0"/>
    <xf numFmtId="0" fontId="10" fillId="0" borderId="0"/>
    <xf numFmtId="167" fontId="10" fillId="0" borderId="0"/>
    <xf numFmtId="0" fontId="5" fillId="5" borderId="0"/>
    <xf numFmtId="0" fontId="5" fillId="5" borderId="0"/>
    <xf numFmtId="0" fontId="6" fillId="6" borderId="0"/>
    <xf numFmtId="0" fontId="11" fillId="0" borderId="0"/>
    <xf numFmtId="0" fontId="11" fillId="0" borderId="0"/>
    <xf numFmtId="0" fontId="12" fillId="0" borderId="2"/>
    <xf numFmtId="0" fontId="13" fillId="3" borderId="0">
      <alignment horizontal="left"/>
    </xf>
    <xf numFmtId="169" fontId="6" fillId="0" borderId="0"/>
    <xf numFmtId="169" fontId="6" fillId="0" borderId="0"/>
    <xf numFmtId="44" fontId="4" fillId="0" borderId="0" applyFont="0" applyFill="0" applyBorder="0" applyAlignment="0" applyProtection="0"/>
    <xf numFmtId="0" fontId="5" fillId="0" borderId="0"/>
    <xf numFmtId="170" fontId="5" fillId="0" borderId="0"/>
    <xf numFmtId="0" fontId="4" fillId="0" borderId="0"/>
    <xf numFmtId="44" fontId="4" fillId="0" borderId="0" applyFont="0" applyFill="0" applyBorder="0" applyAlignment="0" applyProtection="0"/>
    <xf numFmtId="165" fontId="5" fillId="0" borderId="0"/>
    <xf numFmtId="0" fontId="14" fillId="0" borderId="0"/>
    <xf numFmtId="173" fontId="2" fillId="0" borderId="0" applyFill="0" applyBorder="0" applyAlignment="0" applyProtection="0"/>
    <xf numFmtId="4" fontId="2" fillId="0" borderId="3" applyProtection="0">
      <alignment horizontal="right" vertical="center" wrapText="1"/>
    </xf>
    <xf numFmtId="9" fontId="2" fillId="0" borderId="0" applyFill="0" applyBorder="0" applyAlignment="0" applyProtection="0"/>
    <xf numFmtId="0" fontId="2" fillId="7" borderId="0" applyNumberFormat="0" applyBorder="0" applyAlignment="0" applyProtection="0"/>
    <xf numFmtId="0" fontId="15" fillId="8" borderId="0" applyNumberFormat="0" applyBorder="0" applyProtection="0">
      <alignment horizontal="left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171" fontId="2" fillId="0" borderId="0" applyFill="0" applyBorder="0" applyAlignment="0" applyProtection="0"/>
    <xf numFmtId="172" fontId="2" fillId="0" borderId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174" fontId="8" fillId="0" borderId="0"/>
    <xf numFmtId="174" fontId="7" fillId="0" borderId="0"/>
    <xf numFmtId="0" fontId="5" fillId="10" borderId="0"/>
    <xf numFmtId="0" fontId="19" fillId="10" borderId="0"/>
    <xf numFmtId="0" fontId="19" fillId="0" borderId="1"/>
    <xf numFmtId="0" fontId="5" fillId="10" borderId="0"/>
    <xf numFmtId="4" fontId="19" fillId="9" borderId="0"/>
    <xf numFmtId="0" fontId="18" fillId="9" borderId="0"/>
    <xf numFmtId="0" fontId="20" fillId="3" borderId="0"/>
    <xf numFmtId="0" fontId="25" fillId="0" borderId="0" applyNumberFormat="0" applyFill="0" applyBorder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18" applyNumberFormat="0" applyAlignment="0" applyProtection="0"/>
    <xf numFmtId="0" fontId="33" fillId="15" borderId="19" applyNumberFormat="0" applyAlignment="0" applyProtection="0"/>
    <xf numFmtId="0" fontId="34" fillId="15" borderId="18" applyNumberFormat="0" applyAlignment="0" applyProtection="0"/>
    <xf numFmtId="0" fontId="35" fillId="0" borderId="20" applyNumberFormat="0" applyFill="0" applyAlignment="0" applyProtection="0"/>
    <xf numFmtId="0" fontId="36" fillId="16" borderId="21" applyNumberFormat="0" applyAlignment="0" applyProtection="0"/>
    <xf numFmtId="0" fontId="37" fillId="0" borderId="0" applyNumberFormat="0" applyFill="0" applyBorder="0" applyAlignment="0" applyProtection="0"/>
    <xf numFmtId="0" fontId="4" fillId="17" borderId="22" applyNumberFormat="0" applyFont="0" applyAlignment="0" applyProtection="0"/>
    <xf numFmtId="0" fontId="38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3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39" fillId="41" borderId="0" applyNumberFormat="0" applyBorder="0" applyAlignment="0" applyProtection="0"/>
    <xf numFmtId="0" fontId="40" fillId="0" borderId="0"/>
    <xf numFmtId="172" fontId="41" fillId="0" borderId="0" applyBorder="0" applyProtection="0"/>
    <xf numFmtId="0" fontId="42" fillId="0" borderId="0" applyNumberFormat="0" applyFill="0" applyBorder="0" applyAlignment="0" applyProtection="0"/>
  </cellStyleXfs>
  <cellXfs count="175">
    <xf numFmtId="0" fontId="0" fillId="0" borderId="0" xfId="0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4" fillId="0" borderId="10" xfId="0" applyFont="1" applyBorder="1"/>
    <xf numFmtId="0" fontId="0" fillId="0" borderId="0" xfId="0" applyBorder="1" applyAlignment="1">
      <alignment horizontal="left" vertical="top"/>
    </xf>
    <xf numFmtId="17" fontId="0" fillId="0" borderId="0" xfId="0" applyNumberFormat="1" applyBorder="1" applyAlignment="1">
      <alignment horizontal="left"/>
    </xf>
    <xf numFmtId="0" fontId="22" fillId="0" borderId="0" xfId="0" applyFont="1" applyFill="1" applyBorder="1"/>
    <xf numFmtId="0" fontId="22" fillId="0" borderId="0" xfId="0" applyFont="1"/>
    <xf numFmtId="14" fontId="22" fillId="0" borderId="0" xfId="0" applyNumberFormat="1" applyFont="1" applyBorder="1" applyAlignment="1">
      <alignment horizontal="left"/>
    </xf>
    <xf numFmtId="0" fontId="43" fillId="0" borderId="0" xfId="44" applyFont="1"/>
    <xf numFmtId="0" fontId="5" fillId="0" borderId="0" xfId="44"/>
    <xf numFmtId="0" fontId="43" fillId="0" borderId="0" xfId="44" applyFont="1" applyAlignment="1">
      <alignment horizontal="center"/>
    </xf>
    <xf numFmtId="0" fontId="0" fillId="0" borderId="0" xfId="0"/>
    <xf numFmtId="0" fontId="46" fillId="0" borderId="0" xfId="0" applyFont="1"/>
    <xf numFmtId="0" fontId="0" fillId="0" borderId="28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/>
    </xf>
    <xf numFmtId="0" fontId="0" fillId="43" borderId="36" xfId="0" applyFill="1" applyBorder="1"/>
    <xf numFmtId="0" fontId="0" fillId="43" borderId="32" xfId="0" applyFill="1" applyBorder="1"/>
    <xf numFmtId="44" fontId="0" fillId="0" borderId="31" xfId="26" applyFont="1" applyBorder="1"/>
    <xf numFmtId="0" fontId="0" fillId="43" borderId="32" xfId="0" applyFill="1" applyBorder="1" applyAlignment="1">
      <alignment horizontal="right"/>
    </xf>
    <xf numFmtId="0" fontId="47" fillId="0" borderId="0" xfId="0" applyFont="1"/>
    <xf numFmtId="0" fontId="0" fillId="0" borderId="0" xfId="0" quotePrefix="1"/>
    <xf numFmtId="0" fontId="0" fillId="0" borderId="0" xfId="0" applyBorder="1" applyAlignment="1">
      <alignment horizontal="center"/>
    </xf>
    <xf numFmtId="0" fontId="48" fillId="0" borderId="0" xfId="0" applyFont="1"/>
    <xf numFmtId="0" fontId="0" fillId="0" borderId="28" xfId="0" applyBorder="1"/>
    <xf numFmtId="0" fontId="0" fillId="0" borderId="28" xfId="0" applyBorder="1" applyAlignment="1">
      <alignment wrapText="1"/>
    </xf>
    <xf numFmtId="2" fontId="0" fillId="0" borderId="28" xfId="0" applyNumberFormat="1" applyBorder="1" applyAlignment="1">
      <alignment horizontal="center" vertical="center"/>
    </xf>
    <xf numFmtId="0" fontId="0" fillId="0" borderId="28" xfId="0" applyFill="1" applyBorder="1"/>
    <xf numFmtId="0" fontId="23" fillId="0" borderId="0" xfId="0" applyFont="1"/>
    <xf numFmtId="0" fontId="0" fillId="0" borderId="28" xfId="0" applyFill="1" applyBorder="1" applyAlignment="1">
      <alignment horizontal="center" vertical="center"/>
    </xf>
    <xf numFmtId="0" fontId="22" fillId="0" borderId="0" xfId="0" quotePrefix="1" applyFont="1"/>
    <xf numFmtId="0" fontId="0" fillId="0" borderId="0" xfId="0" applyAlignment="1">
      <alignment horizontal="center"/>
    </xf>
    <xf numFmtId="0" fontId="22" fillId="0" borderId="0" xfId="0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left" vertical="top" wrapText="1"/>
    </xf>
    <xf numFmtId="0" fontId="0" fillId="0" borderId="28" xfId="0" applyBorder="1" applyAlignment="1">
      <alignment horizontal="center" vertical="center"/>
    </xf>
    <xf numFmtId="44" fontId="0" fillId="0" borderId="28" xfId="0" applyNumberFormat="1" applyBorder="1" applyAlignment="1">
      <alignment horizontal="center" vertical="center"/>
    </xf>
    <xf numFmtId="44" fontId="22" fillId="0" borderId="28" xfId="0" applyNumberFormat="1" applyFont="1" applyBorder="1"/>
    <xf numFmtId="44" fontId="22" fillId="0" borderId="28" xfId="26" applyFont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 wrapText="1"/>
    </xf>
    <xf numFmtId="164" fontId="22" fillId="0" borderId="28" xfId="0" applyNumberFormat="1" applyFont="1" applyBorder="1" applyAlignment="1">
      <alignment horizontal="center" vertical="center"/>
    </xf>
    <xf numFmtId="0" fontId="22" fillId="43" borderId="28" xfId="0" applyFont="1" applyFill="1" applyBorder="1"/>
    <xf numFmtId="0" fontId="0" fillId="0" borderId="28" xfId="0" applyFill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22" fillId="43" borderId="2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top"/>
    </xf>
    <xf numFmtId="0" fontId="49" fillId="0" borderId="0" xfId="0" applyFont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9" fontId="0" fillId="0" borderId="0" xfId="4" applyFont="1" applyBorder="1"/>
    <xf numFmtId="176" fontId="0" fillId="0" borderId="0" xfId="4" applyNumberFormat="1" applyFont="1" applyBorder="1"/>
    <xf numFmtId="10" fontId="0" fillId="0" borderId="28" xfId="4" applyNumberFormat="1" applyFont="1" applyBorder="1"/>
    <xf numFmtId="10" fontId="0" fillId="0" borderId="28" xfId="4" applyNumberFormat="1" applyFont="1" applyFill="1" applyBorder="1"/>
    <xf numFmtId="10" fontId="22" fillId="43" borderId="28" xfId="4" applyNumberFormat="1" applyFont="1" applyFill="1" applyBorder="1"/>
    <xf numFmtId="10" fontId="22" fillId="44" borderId="28" xfId="4" applyNumberFormat="1" applyFont="1" applyFill="1" applyBorder="1"/>
    <xf numFmtId="0" fontId="22" fillId="0" borderId="28" xfId="0" applyFont="1" applyBorder="1" applyAlignment="1">
      <alignment horizontal="center"/>
    </xf>
    <xf numFmtId="164" fontId="0" fillId="0" borderId="28" xfId="26" applyNumberFormat="1" applyFont="1" applyBorder="1" applyAlignment="1">
      <alignment horizontal="center" vertical="center"/>
    </xf>
    <xf numFmtId="164" fontId="22" fillId="0" borderId="28" xfId="26" applyNumberFormat="1" applyFont="1" applyBorder="1" applyAlignment="1">
      <alignment horizontal="center" vertical="center"/>
    </xf>
    <xf numFmtId="164" fontId="0" fillId="0" borderId="0" xfId="0" applyNumberFormat="1"/>
    <xf numFmtId="0" fontId="44" fillId="42" borderId="28" xfId="44" applyFont="1" applyFill="1" applyBorder="1" applyAlignment="1">
      <alignment horizontal="center" vertical="center"/>
    </xf>
    <xf numFmtId="0" fontId="44" fillId="42" borderId="28" xfId="44" applyFont="1" applyFill="1" applyBorder="1" applyAlignment="1">
      <alignment horizontal="center" vertical="center" wrapText="1"/>
    </xf>
    <xf numFmtId="0" fontId="43" fillId="0" borderId="28" xfId="44" applyFont="1" applyBorder="1" applyAlignment="1">
      <alignment horizontal="right"/>
    </xf>
    <xf numFmtId="10" fontId="43" fillId="0" borderId="28" xfId="44" applyNumberFormat="1" applyFont="1" applyBorder="1" applyAlignment="1">
      <alignment horizontal="center"/>
    </xf>
    <xf numFmtId="0" fontId="21" fillId="43" borderId="28" xfId="44" applyFont="1" applyFill="1" applyBorder="1" applyAlignment="1">
      <alignment horizontal="right"/>
    </xf>
    <xf numFmtId="10" fontId="21" fillId="45" borderId="28" xfId="4" applyNumberFormat="1" applyFont="1" applyFill="1" applyBorder="1" applyAlignment="1">
      <alignment horizontal="center"/>
    </xf>
    <xf numFmtId="0" fontId="44" fillId="42" borderId="28" xfId="44" applyFont="1" applyFill="1" applyBorder="1" applyAlignment="1">
      <alignment horizontal="right"/>
    </xf>
    <xf numFmtId="0" fontId="44" fillId="0" borderId="28" xfId="44" applyFont="1" applyBorder="1" applyAlignment="1">
      <alignment horizontal="center"/>
    </xf>
    <xf numFmtId="44" fontId="22" fillId="43" borderId="33" xfId="26" applyFont="1" applyFill="1" applyBorder="1"/>
    <xf numFmtId="0" fontId="22" fillId="43" borderId="28" xfId="0" applyFont="1" applyFill="1" applyBorder="1" applyAlignment="1">
      <alignment wrapText="1"/>
    </xf>
    <xf numFmtId="2" fontId="22" fillId="43" borderId="28" xfId="0" applyNumberFormat="1" applyFont="1" applyFill="1" applyBorder="1" applyAlignment="1">
      <alignment horizontal="center" vertical="center"/>
    </xf>
    <xf numFmtId="44" fontId="22" fillId="43" borderId="28" xfId="0" applyNumberFormat="1" applyFont="1" applyFill="1" applyBorder="1" applyAlignment="1">
      <alignment horizontal="center" vertical="center"/>
    </xf>
    <xf numFmtId="0" fontId="0" fillId="0" borderId="0" xfId="0" applyFill="1"/>
    <xf numFmtId="0" fontId="22" fillId="0" borderId="28" xfId="0" applyFont="1" applyBorder="1" applyAlignment="1">
      <alignment horizontal="center"/>
    </xf>
    <xf numFmtId="164" fontId="22" fillId="43" borderId="28" xfId="0" applyNumberFormat="1" applyFont="1" applyFill="1" applyBorder="1" applyAlignment="1">
      <alignment horizontal="center" vertical="center"/>
    </xf>
    <xf numFmtId="0" fontId="44" fillId="0" borderId="28" xfId="44" applyFont="1" applyFill="1" applyBorder="1" applyAlignment="1">
      <alignment horizontal="center" vertical="center"/>
    </xf>
    <xf numFmtId="0" fontId="44" fillId="0" borderId="28" xfId="44" applyFont="1" applyFill="1" applyBorder="1" applyAlignment="1">
      <alignment horizontal="center" vertical="center" wrapText="1"/>
    </xf>
    <xf numFmtId="0" fontId="44" fillId="0" borderId="28" xfId="44" applyFont="1" applyFill="1" applyBorder="1" applyAlignment="1">
      <alignment horizontal="right"/>
    </xf>
    <xf numFmtId="175" fontId="45" fillId="0" borderId="28" xfId="44" applyNumberFormat="1" applyFont="1" applyFill="1" applyBorder="1" applyAlignment="1">
      <alignment horizontal="center"/>
    </xf>
    <xf numFmtId="177" fontId="45" fillId="42" borderId="28" xfId="44" applyNumberFormat="1" applyFont="1" applyFill="1" applyBorder="1" applyAlignment="1">
      <alignment horizontal="center"/>
    </xf>
    <xf numFmtId="0" fontId="43" fillId="0" borderId="0" xfId="44" quotePrefix="1" applyFont="1"/>
    <xf numFmtId="0" fontId="0" fillId="0" borderId="28" xfId="0" applyBorder="1" applyAlignment="1">
      <alignment horizontal="left" vertical="top" wrapText="1"/>
    </xf>
    <xf numFmtId="0" fontId="0" fillId="0" borderId="28" xfId="0" applyBorder="1" applyAlignment="1">
      <alignment horizontal="center" vertical="top" wrapText="1"/>
    </xf>
    <xf numFmtId="0" fontId="0" fillId="0" borderId="24" xfId="0" applyBorder="1"/>
    <xf numFmtId="164" fontId="0" fillId="0" borderId="28" xfId="0" applyNumberFormat="1" applyBorder="1"/>
    <xf numFmtId="164" fontId="0" fillId="0" borderId="28" xfId="0" applyNumberFormat="1" applyBorder="1" applyAlignment="1">
      <alignment horizontal="center"/>
    </xf>
    <xf numFmtId="164" fontId="22" fillId="0" borderId="0" xfId="0" applyNumberFormat="1" applyFont="1" applyAlignment="1">
      <alignment horizontal="center" vertical="center"/>
    </xf>
    <xf numFmtId="0" fontId="0" fillId="0" borderId="24" xfId="0" applyBorder="1" applyAlignment="1"/>
    <xf numFmtId="10" fontId="0" fillId="0" borderId="0" xfId="4" applyNumberFormat="1" applyFont="1"/>
    <xf numFmtId="164" fontId="46" fillId="0" borderId="28" xfId="0" applyNumberFormat="1" applyFont="1" applyBorder="1" applyAlignment="1">
      <alignment horizontal="center" vertical="center"/>
    </xf>
    <xf numFmtId="0" fontId="0" fillId="0" borderId="25" xfId="0" applyBorder="1"/>
    <xf numFmtId="164" fontId="0" fillId="0" borderId="25" xfId="0" applyNumberFormat="1" applyBorder="1"/>
    <xf numFmtId="164" fontId="22" fillId="0" borderId="26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37" xfId="0" applyBorder="1"/>
    <xf numFmtId="164" fontId="46" fillId="0" borderId="5" xfId="0" applyNumberFormat="1" applyFont="1" applyBorder="1" applyAlignment="1">
      <alignment horizontal="right"/>
    </xf>
    <xf numFmtId="164" fontId="46" fillId="0" borderId="26" xfId="0" applyNumberFormat="1" applyFont="1" applyBorder="1" applyAlignment="1">
      <alignment horizontal="right"/>
    </xf>
    <xf numFmtId="164" fontId="46" fillId="0" borderId="26" xfId="0" applyNumberFormat="1" applyFont="1" applyBorder="1" applyAlignment="1">
      <alignment horizontal="center" vertical="center"/>
    </xf>
    <xf numFmtId="164" fontId="46" fillId="0" borderId="0" xfId="0" applyNumberFormat="1" applyFont="1" applyBorder="1" applyAlignment="1">
      <alignment horizontal="right"/>
    </xf>
    <xf numFmtId="10" fontId="0" fillId="0" borderId="25" xfId="4" applyNumberFormat="1" applyFont="1" applyBorder="1"/>
    <xf numFmtId="164" fontId="46" fillId="0" borderId="37" xfId="0" applyNumberFormat="1" applyFont="1" applyBorder="1" applyAlignment="1">
      <alignment horizontal="right"/>
    </xf>
    <xf numFmtId="164" fontId="46" fillId="0" borderId="25" xfId="0" applyNumberFormat="1" applyFont="1" applyBorder="1" applyAlignment="1">
      <alignment horizontal="right"/>
    </xf>
    <xf numFmtId="164" fontId="46" fillId="0" borderId="0" xfId="0" applyNumberFormat="1" applyFont="1" applyBorder="1" applyAlignment="1">
      <alignment horizontal="center" vertical="center"/>
    </xf>
    <xf numFmtId="0" fontId="46" fillId="0" borderId="24" xfId="0" applyFont="1" applyBorder="1"/>
    <xf numFmtId="0" fontId="0" fillId="0" borderId="26" xfId="0" applyBorder="1"/>
    <xf numFmtId="0" fontId="46" fillId="0" borderId="27" xfId="0" applyFont="1" applyBorder="1"/>
    <xf numFmtId="164" fontId="46" fillId="0" borderId="5" xfId="0" applyNumberFormat="1" applyFont="1" applyBorder="1" applyAlignment="1">
      <alignment horizontal="center" vertical="center"/>
    </xf>
    <xf numFmtId="10" fontId="0" fillId="0" borderId="25" xfId="0" applyNumberFormat="1" applyBorder="1"/>
    <xf numFmtId="178" fontId="0" fillId="0" borderId="28" xfId="0" applyNumberFormat="1" applyBorder="1" applyAlignment="1">
      <alignment horizontal="center"/>
    </xf>
    <xf numFmtId="0" fontId="43" fillId="0" borderId="28" xfId="44" applyFont="1" applyBorder="1" applyAlignment="1">
      <alignment horizontal="right" wrapText="1"/>
    </xf>
    <xf numFmtId="0" fontId="0" fillId="0" borderId="0" xfId="0" applyFont="1"/>
    <xf numFmtId="0" fontId="50" fillId="0" borderId="24" xfId="0" applyFont="1" applyFill="1" applyBorder="1" applyAlignment="1">
      <alignment horizontal="center" vertical="center"/>
    </xf>
    <xf numFmtId="0" fontId="50" fillId="0" borderId="28" xfId="0" applyFont="1" applyFill="1" applyBorder="1" applyAlignment="1">
      <alignment horizontal="center" vertical="center"/>
    </xf>
    <xf numFmtId="0" fontId="51" fillId="0" borderId="28" xfId="0" applyFont="1" applyFill="1" applyBorder="1" applyAlignment="1">
      <alignment horizontal="left" vertical="center"/>
    </xf>
    <xf numFmtId="10" fontId="51" fillId="0" borderId="28" xfId="0" applyNumberFormat="1" applyFont="1" applyFill="1" applyBorder="1" applyAlignment="1">
      <alignment horizontal="center" vertical="center"/>
    </xf>
    <xf numFmtId="10" fontId="50" fillId="0" borderId="28" xfId="0" applyNumberFormat="1" applyFont="1" applyFill="1" applyBorder="1" applyAlignment="1">
      <alignment horizontal="center" vertical="center"/>
    </xf>
    <xf numFmtId="179" fontId="0" fillId="0" borderId="28" xfId="0" applyNumberFormat="1" applyBorder="1" applyAlignment="1">
      <alignment horizontal="center" vertical="center"/>
    </xf>
    <xf numFmtId="44" fontId="0" fillId="0" borderId="28" xfId="26" applyFont="1" applyBorder="1" applyAlignment="1">
      <alignment horizontal="center"/>
    </xf>
    <xf numFmtId="0" fontId="22" fillId="43" borderId="28" xfId="0" applyFont="1" applyFill="1" applyBorder="1" applyAlignment="1">
      <alignment horizontal="center" vertical="center" wrapText="1"/>
    </xf>
    <xf numFmtId="180" fontId="0" fillId="0" borderId="28" xfId="0" applyNumberFormat="1" applyBorder="1" applyAlignment="1">
      <alignment horizontal="center"/>
    </xf>
    <xf numFmtId="0" fontId="0" fillId="46" borderId="28" xfId="0" applyFill="1" applyBorder="1"/>
    <xf numFmtId="0" fontId="0" fillId="46" borderId="28" xfId="0" applyFill="1" applyBorder="1" applyAlignment="1">
      <alignment horizontal="center" vertical="center"/>
    </xf>
    <xf numFmtId="10" fontId="0" fillId="46" borderId="28" xfId="4" applyNumberFormat="1" applyFont="1" applyFill="1" applyBorder="1" applyAlignment="1">
      <alignment horizontal="center" vertical="center"/>
    </xf>
    <xf numFmtId="164" fontId="0" fillId="46" borderId="28" xfId="26" applyNumberFormat="1" applyFont="1" applyFill="1" applyBorder="1" applyAlignment="1">
      <alignment horizontal="center" vertical="center"/>
    </xf>
    <xf numFmtId="0" fontId="0" fillId="46" borderId="28" xfId="0" applyFill="1" applyBorder="1" applyAlignment="1">
      <alignment wrapText="1"/>
    </xf>
    <xf numFmtId="164" fontId="0" fillId="46" borderId="28" xfId="0" applyNumberFormat="1" applyFill="1" applyBorder="1" applyAlignment="1">
      <alignment horizontal="center" vertical="center"/>
    </xf>
    <xf numFmtId="9" fontId="0" fillId="46" borderId="28" xfId="4" applyFont="1" applyFill="1" applyBorder="1" applyAlignment="1">
      <alignment horizontal="center" vertical="center"/>
    </xf>
    <xf numFmtId="0" fontId="0" fillId="46" borderId="28" xfId="0" applyFont="1" applyFill="1" applyBorder="1" applyAlignment="1">
      <alignment wrapText="1"/>
    </xf>
    <xf numFmtId="181" fontId="22" fillId="0" borderId="0" xfId="0" applyNumberFormat="1" applyFont="1" applyFill="1" applyBorder="1" applyAlignment="1">
      <alignment horizontal="center"/>
    </xf>
    <xf numFmtId="44" fontId="22" fillId="0" borderId="0" xfId="26" applyFont="1"/>
    <xf numFmtId="0" fontId="22" fillId="0" borderId="0" xfId="0" applyFont="1" applyBorder="1" applyAlignment="1">
      <alignment horizontal="right" vertical="center"/>
    </xf>
    <xf numFmtId="164" fontId="22" fillId="0" borderId="0" xfId="0" applyNumberFormat="1" applyFont="1" applyBorder="1" applyAlignment="1">
      <alignment horizontal="center" vertical="center"/>
    </xf>
    <xf numFmtId="2" fontId="0" fillId="0" borderId="0" xfId="0" applyNumberFormat="1" applyBorder="1"/>
    <xf numFmtId="164" fontId="22" fillId="0" borderId="0" xfId="0" applyNumberFormat="1" applyFont="1" applyBorder="1"/>
    <xf numFmtId="0" fontId="52" fillId="0" borderId="0" xfId="0" applyFont="1"/>
    <xf numFmtId="0" fontId="22" fillId="47" borderId="24" xfId="0" applyFont="1" applyFill="1" applyBorder="1" applyAlignment="1">
      <alignment horizontal="center"/>
    </xf>
    <xf numFmtId="0" fontId="22" fillId="47" borderId="28" xfId="0" applyFont="1" applyFill="1" applyBorder="1" applyAlignment="1">
      <alignment horizontal="center"/>
    </xf>
    <xf numFmtId="2" fontId="22" fillId="47" borderId="24" xfId="0" applyNumberFormat="1" applyFont="1" applyFill="1" applyBorder="1" applyAlignment="1">
      <alignment horizontal="center"/>
    </xf>
    <xf numFmtId="0" fontId="0" fillId="47" borderId="28" xfId="0" applyFill="1" applyBorder="1"/>
    <xf numFmtId="164" fontId="22" fillId="47" borderId="28" xfId="0" applyNumberFormat="1" applyFont="1" applyFill="1" applyBorder="1" applyAlignment="1">
      <alignment horizontal="center"/>
    </xf>
    <xf numFmtId="164" fontId="22" fillId="47" borderId="28" xfId="0" applyNumberFormat="1" applyFont="1" applyFill="1" applyBorder="1"/>
    <xf numFmtId="181" fontId="22" fillId="47" borderId="28" xfId="0" applyNumberFormat="1" applyFont="1" applyFill="1" applyBorder="1" applyAlignment="1">
      <alignment horizontal="center"/>
    </xf>
    <xf numFmtId="0" fontId="0" fillId="0" borderId="24" xfId="0" applyFont="1" applyBorder="1"/>
    <xf numFmtId="0" fontId="51" fillId="0" borderId="7" xfId="0" applyFont="1" applyFill="1" applyBorder="1"/>
    <xf numFmtId="0" fontId="51" fillId="0" borderId="8" xfId="0" applyFont="1" applyFill="1" applyBorder="1"/>
    <xf numFmtId="0" fontId="51" fillId="0" borderId="9" xfId="0" applyFont="1" applyFill="1" applyBorder="1"/>
    <xf numFmtId="0" fontId="51" fillId="0" borderId="10" xfId="0" applyFont="1" applyFill="1" applyBorder="1"/>
    <xf numFmtId="0" fontId="51" fillId="0" borderId="0" xfId="0" applyFont="1" applyFill="1" applyBorder="1"/>
    <xf numFmtId="0" fontId="51" fillId="0" borderId="0" xfId="0" applyFont="1" applyFill="1" applyBorder="1" applyAlignment="1">
      <alignment horizontal="center"/>
    </xf>
    <xf numFmtId="0" fontId="51" fillId="0" borderId="11" xfId="0" applyFont="1" applyFill="1" applyBorder="1"/>
    <xf numFmtId="0" fontId="37" fillId="0" borderId="0" xfId="0" applyFont="1"/>
    <xf numFmtId="0" fontId="0" fillId="0" borderId="24" xfId="0" applyBorder="1" applyAlignment="1">
      <alignment wrapText="1"/>
    </xf>
    <xf numFmtId="44" fontId="0" fillId="48" borderId="28" xfId="26" applyFont="1" applyFill="1" applyBorder="1" applyAlignment="1">
      <alignment horizontal="center" vertical="center"/>
    </xf>
    <xf numFmtId="44" fontId="0" fillId="0" borderId="28" xfId="26" applyFont="1" applyFill="1" applyBorder="1"/>
    <xf numFmtId="10" fontId="0" fillId="0" borderId="28" xfId="0" applyNumberFormat="1" applyFill="1" applyBorder="1"/>
    <xf numFmtId="0" fontId="53" fillId="0" borderId="10" xfId="0" applyFont="1" applyFill="1" applyBorder="1" applyAlignment="1">
      <alignment horizontal="center"/>
    </xf>
    <xf numFmtId="0" fontId="53" fillId="0" borderId="0" xfId="0" applyFont="1" applyFill="1" applyBorder="1" applyAlignment="1">
      <alignment horizontal="center"/>
    </xf>
    <xf numFmtId="0" fontId="53" fillId="0" borderId="11" xfId="0" applyFont="1" applyFill="1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22" fillId="2" borderId="28" xfId="0" applyFont="1" applyFill="1" applyBorder="1" applyAlignment="1">
      <alignment horizontal="right"/>
    </xf>
    <xf numFmtId="0" fontId="22" fillId="0" borderId="28" xfId="0" applyFont="1" applyBorder="1" applyAlignment="1">
      <alignment horizontal="right" vertical="center"/>
    </xf>
    <xf numFmtId="44" fontId="22" fillId="0" borderId="28" xfId="0" applyNumberFormat="1" applyFont="1" applyBorder="1" applyAlignment="1">
      <alignment horizontal="right" vertical="center"/>
    </xf>
    <xf numFmtId="164" fontId="46" fillId="0" borderId="24" xfId="0" applyNumberFormat="1" applyFont="1" applyBorder="1" applyAlignment="1">
      <alignment horizontal="right"/>
    </xf>
    <xf numFmtId="164" fontId="46" fillId="0" borderId="25" xfId="0" applyNumberFormat="1" applyFont="1" applyBorder="1" applyAlignment="1">
      <alignment horizontal="right"/>
    </xf>
    <xf numFmtId="164" fontId="46" fillId="0" borderId="26" xfId="0" applyNumberFormat="1" applyFont="1" applyBorder="1" applyAlignment="1">
      <alignment horizontal="right"/>
    </xf>
    <xf numFmtId="0" fontId="22" fillId="2" borderId="28" xfId="0" applyFont="1" applyFill="1" applyBorder="1" applyAlignment="1">
      <alignment horizontal="center"/>
    </xf>
    <xf numFmtId="0" fontId="22" fillId="44" borderId="28" xfId="0" applyFont="1" applyFill="1" applyBorder="1" applyAlignment="1">
      <alignment horizontal="center"/>
    </xf>
    <xf numFmtId="0" fontId="50" fillId="0" borderId="24" xfId="0" applyFont="1" applyFill="1" applyBorder="1" applyAlignment="1">
      <alignment horizontal="center" vertical="center"/>
    </xf>
    <xf numFmtId="0" fontId="50" fillId="0" borderId="26" xfId="0" applyFont="1" applyFill="1" applyBorder="1" applyAlignment="1">
      <alignment horizontal="center" vertical="center"/>
    </xf>
    <xf numFmtId="0" fontId="50" fillId="0" borderId="28" xfId="0" applyFont="1" applyFill="1" applyBorder="1" applyAlignment="1">
      <alignment horizontal="center" vertical="center"/>
    </xf>
  </cellXfs>
  <cellStyles count="98">
    <cellStyle name="20% - Ênfase1" xfId="72" builtinId="30" customBuiltin="1"/>
    <cellStyle name="20% - Ênfase2" xfId="76" builtinId="34" customBuiltin="1"/>
    <cellStyle name="20% - Ênfase3" xfId="80" builtinId="38" customBuiltin="1"/>
    <cellStyle name="20% - Ênfase4" xfId="84" builtinId="42" customBuiltin="1"/>
    <cellStyle name="20% - Ênfase5" xfId="88" builtinId="46" customBuiltin="1"/>
    <cellStyle name="20% - Ênfase6" xfId="92" builtinId="50" customBuiltin="1"/>
    <cellStyle name="40% - Ênfase1" xfId="73" builtinId="31" customBuiltin="1"/>
    <cellStyle name="40% - Ênfase2" xfId="77" builtinId="35" customBuiltin="1"/>
    <cellStyle name="40% - Ênfase3" xfId="81" builtinId="39" customBuiltin="1"/>
    <cellStyle name="40% - Ênfase4" xfId="85" builtinId="43" customBuiltin="1"/>
    <cellStyle name="40% - Ênfase5" xfId="89" builtinId="47" customBuiltin="1"/>
    <cellStyle name="40% - Ênfase6" xfId="93" builtinId="51" customBuiltin="1"/>
    <cellStyle name="60% - Ênfase1" xfId="74" builtinId="32" customBuiltin="1"/>
    <cellStyle name="60% - Ênfase2" xfId="78" builtinId="36" customBuiltin="1"/>
    <cellStyle name="60% - Ênfase3" xfId="82" builtinId="40" customBuiltin="1"/>
    <cellStyle name="60% - Ênfase4" xfId="86" builtinId="44" customBuiltin="1"/>
    <cellStyle name="60% - Ênfase5" xfId="90" builtinId="48" customBuiltin="1"/>
    <cellStyle name="60% - Ênfase6" xfId="94" builtinId="52" customBuiltin="1"/>
    <cellStyle name="Bom" xfId="59" builtinId="26" customBuiltin="1"/>
    <cellStyle name="Cálculo" xfId="64" builtinId="22" customBuiltin="1"/>
    <cellStyle name="Célula de Verificação" xfId="66" builtinId="23" customBuiltin="1"/>
    <cellStyle name="Célula Vinculada" xfId="65" builtinId="24" customBuiltin="1"/>
    <cellStyle name="COMUM" xfId="6"/>
    <cellStyle name="COMUM 2" xfId="34"/>
    <cellStyle name="Ênfase1" xfId="71" builtinId="29" customBuiltin="1"/>
    <cellStyle name="Ênfase2" xfId="75" builtinId="33" customBuiltin="1"/>
    <cellStyle name="Ênfase3" xfId="79" builtinId="37" customBuiltin="1"/>
    <cellStyle name="Ênfase4" xfId="83" builtinId="41" customBuiltin="1"/>
    <cellStyle name="Ênfase5" xfId="87" builtinId="45" customBuiltin="1"/>
    <cellStyle name="Ênfase6" xfId="91" builtinId="49" customBuiltin="1"/>
    <cellStyle name="Entrada" xfId="62" builtinId="20" customBuiltin="1"/>
    <cellStyle name="Excel Built-in Comma" xfId="7"/>
    <cellStyle name="Excel Built-in Currency" xfId="8"/>
    <cellStyle name="Excel Built-in Hyperlink" xfId="9"/>
    <cellStyle name="Excel Built-in Hyperlink 2" xfId="45"/>
    <cellStyle name="Excel Built-in Normal" xfId="10"/>
    <cellStyle name="Excel Built-in Normal 2" xfId="46"/>
    <cellStyle name="Excel_BuiltIn_20% - Ênfase1" xfId="11"/>
    <cellStyle name="Heading" xfId="12"/>
    <cellStyle name="Heading1" xfId="13"/>
    <cellStyle name="Hiperlink 2" xfId="97"/>
    <cellStyle name="Moeda" xfId="26" builtinId="4"/>
    <cellStyle name="Moeda 2" xfId="2"/>
    <cellStyle name="Moeda 2 2" xfId="30"/>
    <cellStyle name="Moeda 3" xfId="31"/>
    <cellStyle name="Moeda 4" xfId="33"/>
    <cellStyle name="Neutro" xfId="61" builtinId="28" customBuiltin="1"/>
    <cellStyle name="Normal" xfId="0" builtinId="0"/>
    <cellStyle name="Normal 2" xfId="1"/>
    <cellStyle name="Normal 2 2" xfId="29"/>
    <cellStyle name="Normal 2 3" xfId="44"/>
    <cellStyle name="Normal 3" xfId="5"/>
    <cellStyle name="Normal 4" xfId="32"/>
    <cellStyle name="Normal 5" xfId="95"/>
    <cellStyle name="Nota" xfId="68" builtinId="10" customBuiltin="1"/>
    <cellStyle name="Porcentagem" xfId="4" builtinId="5"/>
    <cellStyle name="Porcentagem 2" xfId="3"/>
    <cellStyle name="Porcentagem 3 2" xfId="14"/>
    <cellStyle name="Porcentagem 3 2 2" xfId="35"/>
    <cellStyle name="Result" xfId="15"/>
    <cellStyle name="Result2" xfId="16"/>
    <cellStyle name="Ruim" xfId="60" builtinId="27" customBuiltin="1"/>
    <cellStyle name="Saída" xfId="63" builtinId="21" customBuiltin="1"/>
    <cellStyle name="Sem título1" xfId="17"/>
    <cellStyle name="Sem título1 2" xfId="47"/>
    <cellStyle name="Sem título2" xfId="18"/>
    <cellStyle name="Sem título2 2" xfId="48"/>
    <cellStyle name="Sem título3" xfId="49"/>
    <cellStyle name="Sem título4" xfId="50"/>
    <cellStyle name="Sem título5" xfId="51"/>
    <cellStyle name="Sem título6" xfId="52"/>
    <cellStyle name="Sem título7" xfId="53"/>
    <cellStyle name="Texto de Aviso" xfId="67" builtinId="11" customBuiltin="1"/>
    <cellStyle name="Texto Explicativo" xfId="69" builtinId="53" customBuiltin="1"/>
    <cellStyle name="Texto Explicativo 2" xfId="27"/>
    <cellStyle name="Texto Explicativo 3" xfId="96"/>
    <cellStyle name="Titulo" xfId="19"/>
    <cellStyle name="Título" xfId="54" builtinId="15" customBuiltin="1"/>
    <cellStyle name="Título 1" xfId="55" builtinId="16" customBuiltin="1"/>
    <cellStyle name="Título 1 1" xfId="20"/>
    <cellStyle name="Título 1 1 1" xfId="21"/>
    <cellStyle name="Título 1 1 1 1" xfId="22"/>
    <cellStyle name="Título 1 1 1 1 2" xfId="40"/>
    <cellStyle name="Título 1 1 1 2" xfId="39"/>
    <cellStyle name="Título 1 1 2" xfId="38"/>
    <cellStyle name="Titulo 2" xfId="36"/>
    <cellStyle name="Título 2" xfId="56" builtinId="17" customBuiltin="1"/>
    <cellStyle name="Título 3" xfId="57" builtinId="18" customBuiltin="1"/>
    <cellStyle name="Título 4" xfId="58" builtinId="19" customBuiltin="1"/>
    <cellStyle name="Titulo-Volare" xfId="23"/>
    <cellStyle name="Titulo-Volare 2" xfId="37"/>
    <cellStyle name="Total" xfId="70" builtinId="25" customBuiltin="1"/>
    <cellStyle name="Vírgula 2" xfId="28"/>
    <cellStyle name="Vírgula 2 2" xfId="43"/>
    <cellStyle name="Vírgula 3" xfId="24"/>
    <cellStyle name="Vírgula 3 2" xfId="41"/>
    <cellStyle name="Vírgula 5" xfId="25"/>
    <cellStyle name="Vírgula 5 2" xfId="42"/>
  </cellStyles>
  <dxfs count="1">
    <dxf>
      <font>
        <b/>
        <i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1</xdr:row>
      <xdr:rowOff>57150</xdr:rowOff>
    </xdr:from>
    <xdr:to>
      <xdr:col>5</xdr:col>
      <xdr:colOff>542925</xdr:colOff>
      <xdr:row>1</xdr:row>
      <xdr:rowOff>631072</xdr:rowOff>
    </xdr:to>
    <xdr:pic>
      <xdr:nvPicPr>
        <xdr:cNvPr id="2" name="Imagem 1" descr="http://www.unipampa.edu.br/portal/images/Assinatura_Unipampa_JPG_SVG/brasao/braso_republica_baixa_re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57175"/>
          <a:ext cx="571500" cy="573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7</xdr:col>
      <xdr:colOff>314325</xdr:colOff>
      <xdr:row>6</xdr:row>
      <xdr:rowOff>9525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8575" y="0"/>
          <a:ext cx="7219950" cy="115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PODER JUDICIÁRIO DA UNIÃO</a:t>
          </a:r>
          <a:endParaRPr lang="pt-BR" sz="1800">
            <a:effectLst/>
          </a:endParaRPr>
        </a:p>
        <a:p>
          <a:pPr algn="ctr"/>
          <a:r>
            <a:rPr lang="pt-B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TRIBUNAL REGIONAL DO TRABALHO DA 18ª REGIÃO</a:t>
          </a:r>
          <a:endParaRPr lang="pt-BR" sz="1800">
            <a:effectLst/>
          </a:endParaRPr>
        </a:p>
        <a:p>
          <a:pPr algn="ctr"/>
          <a:r>
            <a:rPr lang="pt-B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ANEXO B - PLANILHA DE FORMAÇÃO DE PREÇOS</a:t>
          </a:r>
          <a:endParaRPr lang="pt-BR" sz="1800">
            <a:effectLst/>
          </a:endParaRPr>
        </a:p>
        <a:p>
          <a:pPr algn="ctr"/>
          <a:r>
            <a:rPr lang="pt-BR" sz="1200" b="1"/>
            <a:t>Quadro B.1 - Planilha de</a:t>
          </a:r>
          <a:r>
            <a:rPr lang="pt-BR" sz="1200" b="1" baseline="0"/>
            <a:t> Orçamento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95249</xdr:rowOff>
    </xdr:from>
    <xdr:to>
      <xdr:col>8</xdr:col>
      <xdr:colOff>9525</xdr:colOff>
      <xdr:row>5</xdr:row>
      <xdr:rowOff>28574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42900" y="95249"/>
          <a:ext cx="9629775" cy="1114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 b="1"/>
            <a:t>Quadro B.2 - Composições</a:t>
          </a:r>
          <a:r>
            <a:rPr lang="pt-BR" sz="1200" b="1" baseline="0"/>
            <a:t> </a:t>
          </a:r>
          <a:r>
            <a:rPr lang="pt-BR" sz="1200" b="1"/>
            <a:t>do custo</a:t>
          </a:r>
          <a:r>
            <a:rPr lang="pt-BR" sz="1200" b="1" baseline="0"/>
            <a:t> da hora técnica básica (de referência)</a:t>
          </a:r>
        </a:p>
        <a:p>
          <a:pPr algn="ctr"/>
          <a:endParaRPr lang="pt-BR" sz="1200" b="1" baseline="0"/>
        </a:p>
        <a:p>
          <a:pPr algn="ctr"/>
          <a:r>
            <a:rPr lang="pt-BR" sz="1200" b="0" baseline="0">
              <a:solidFill>
                <a:srgbClr val="FF0000"/>
              </a:solidFill>
            </a:rPr>
            <a:t>(Instrução: ocultar (NÃO EXCLUIR LINHAS) composições zeradas /sem preço, não alterar fórmulas)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0</xdr:row>
      <xdr:rowOff>95251</xdr:rowOff>
    </xdr:from>
    <xdr:ext cx="9872383" cy="10287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38150" y="95251"/>
          <a:ext cx="9872383" cy="1028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pt-BR" sz="12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200" b="1" baseline="0">
              <a:latin typeface="Arial" panose="020B0604020202020204" pitchFamily="34" charset="0"/>
              <a:cs typeface="Arial" panose="020B0604020202020204" pitchFamily="34" charset="0"/>
            </a:rPr>
            <a:t>QUADRO B.3 -  Quadro Resumo Serviços de Consultoria</a:t>
          </a:r>
        </a:p>
        <a:p>
          <a:pPr algn="ctr"/>
          <a:endParaRPr lang="pt-BR" sz="12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200" b="1" baseline="0">
              <a:latin typeface="Arial" panose="020B0604020202020204" pitchFamily="34" charset="0"/>
              <a:cs typeface="Arial" panose="020B0604020202020204" pitchFamily="34" charset="0"/>
            </a:rPr>
            <a:t>(</a:t>
          </a:r>
          <a:r>
            <a:rPr lang="pt-BR" sz="12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INSTRUÇÃO: não é necessário editar as células/fórmulas - o cálculo recursivo do excel deve estar ativado para não gerar erro de referencia circular</a:t>
          </a:r>
          <a:r>
            <a:rPr lang="pt-BR" sz="1200" b="1" baseline="0"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212913</xdr:colOff>
      <xdr:row>0</xdr:row>
      <xdr:rowOff>112059</xdr:rowOff>
    </xdr:from>
    <xdr:ext cx="4773705" cy="427424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12913" y="112059"/>
          <a:ext cx="4773705" cy="4274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400" b="1" baseline="0">
              <a:latin typeface="Arial" panose="020B0604020202020204" pitchFamily="34" charset="0"/>
              <a:cs typeface="Arial" panose="020B0604020202020204" pitchFamily="34" charset="0"/>
            </a:rPr>
            <a:t>QUADRO B.4.a - Detalhamento fator "K"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257736</xdr:colOff>
      <xdr:row>0</xdr:row>
      <xdr:rowOff>78440</xdr:rowOff>
    </xdr:from>
    <xdr:ext cx="7978588" cy="269369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57736" y="78440"/>
          <a:ext cx="7978588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1" baseline="0">
              <a:latin typeface="Arial" panose="020B0604020202020204" pitchFamily="34" charset="0"/>
              <a:cs typeface="Arial" panose="020B0604020202020204" pitchFamily="34" charset="0"/>
            </a:rPr>
            <a:t>QUADROS B.4.d - Detalhamento dos encargos complementares</a:t>
          </a:r>
          <a:endParaRPr lang="pt-BR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/PROJETOS/CONTRATA&#199;&#195;O%20PROJETOS%202018/ANEXO%20A%20-%20TABELA%20DE%20REMUNERA&#199;&#195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REMUNERAÇÃO"/>
    </sheetNames>
    <sheetDataSet>
      <sheetData sheetId="0">
        <row r="5">
          <cell r="D5">
            <v>157.08326671232876</v>
          </cell>
        </row>
        <row r="6">
          <cell r="D6">
            <v>215.10354452054798</v>
          </cell>
        </row>
        <row r="7">
          <cell r="D7">
            <v>108.2699482191781</v>
          </cell>
        </row>
        <row r="8">
          <cell r="D8">
            <v>189.3466896164384</v>
          </cell>
        </row>
        <row r="9">
          <cell r="D9">
            <v>251.99524786191785</v>
          </cell>
        </row>
        <row r="10">
          <cell r="D10">
            <v>138.07805917808219</v>
          </cell>
        </row>
        <row r="11">
          <cell r="D11">
            <v>108.2699482191781</v>
          </cell>
        </row>
        <row r="12">
          <cell r="D12">
            <v>161.89067219178079</v>
          </cell>
        </row>
        <row r="16">
          <cell r="F16">
            <v>4000</v>
          </cell>
        </row>
        <row r="17">
          <cell r="F17">
            <v>700</v>
          </cell>
        </row>
        <row r="20">
          <cell r="E20">
            <v>1</v>
          </cell>
          <cell r="F20">
            <v>700</v>
          </cell>
        </row>
        <row r="21">
          <cell r="E21">
            <v>0.5</v>
          </cell>
          <cell r="F21">
            <v>0</v>
          </cell>
        </row>
        <row r="23">
          <cell r="E23">
            <v>0.25</v>
          </cell>
          <cell r="F23">
            <v>200</v>
          </cell>
        </row>
        <row r="24">
          <cell r="E24">
            <v>0.15</v>
          </cell>
        </row>
        <row r="25">
          <cell r="E25">
            <v>0.1</v>
          </cell>
        </row>
        <row r="28">
          <cell r="F28">
            <v>900</v>
          </cell>
        </row>
        <row r="29">
          <cell r="F29">
            <v>905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rgb="FF00B050"/>
    <pageSetUpPr fitToPage="1"/>
  </sheetPr>
  <dimension ref="B1:N21"/>
  <sheetViews>
    <sheetView showGridLines="0" view="pageBreakPreview" zoomScaleNormal="100" zoomScaleSheetLayoutView="100" workbookViewId="0">
      <selection activeCell="E14" sqref="E14"/>
    </sheetView>
  </sheetViews>
  <sheetFormatPr defaultRowHeight="15"/>
  <cols>
    <col min="1" max="1" width="3.7109375" customWidth="1"/>
    <col min="2" max="2" width="9.140625" customWidth="1"/>
    <col min="3" max="3" width="21.28515625" customWidth="1"/>
    <col min="4" max="4" width="12.140625" customWidth="1"/>
    <col min="5" max="5" width="10.7109375" bestFit="1" customWidth="1"/>
    <col min="13" max="13" width="3.7109375" customWidth="1"/>
  </cols>
  <sheetData>
    <row r="1" spans="2:14" ht="15.75" thickBot="1"/>
    <row r="2" spans="2:14" ht="52.5" customHeight="1">
      <c r="B2" s="148"/>
      <c r="C2" s="149"/>
      <c r="D2" s="149"/>
      <c r="E2" s="149"/>
      <c r="F2" s="149"/>
      <c r="G2" s="149"/>
      <c r="H2" s="149"/>
      <c r="I2" s="149"/>
      <c r="J2" s="149"/>
      <c r="K2" s="149"/>
      <c r="L2" s="150"/>
    </row>
    <row r="3" spans="2:14" ht="15.75">
      <c r="B3" s="160" t="s">
        <v>5</v>
      </c>
      <c r="C3" s="161"/>
      <c r="D3" s="161"/>
      <c r="E3" s="161"/>
      <c r="F3" s="161"/>
      <c r="G3" s="161"/>
      <c r="H3" s="161"/>
      <c r="I3" s="161"/>
      <c r="J3" s="161"/>
      <c r="K3" s="161"/>
      <c r="L3" s="162"/>
    </row>
    <row r="4" spans="2:14" ht="15.75">
      <c r="B4" s="160" t="s">
        <v>9</v>
      </c>
      <c r="C4" s="161"/>
      <c r="D4" s="161"/>
      <c r="E4" s="161"/>
      <c r="F4" s="161"/>
      <c r="G4" s="161"/>
      <c r="H4" s="161"/>
      <c r="I4" s="161"/>
      <c r="J4" s="161"/>
      <c r="K4" s="161"/>
      <c r="L4" s="162"/>
    </row>
    <row r="5" spans="2:14" ht="15.75">
      <c r="B5" s="160" t="s">
        <v>10</v>
      </c>
      <c r="C5" s="161"/>
      <c r="D5" s="161"/>
      <c r="E5" s="161"/>
      <c r="F5" s="161"/>
      <c r="G5" s="161"/>
      <c r="H5" s="161"/>
      <c r="I5" s="161"/>
      <c r="J5" s="161"/>
      <c r="K5" s="161"/>
      <c r="L5" s="162"/>
    </row>
    <row r="6" spans="2:14" s="16" customFormat="1" ht="15.75">
      <c r="B6" s="160" t="s">
        <v>16</v>
      </c>
      <c r="C6" s="161"/>
      <c r="D6" s="161"/>
      <c r="E6" s="161"/>
      <c r="F6" s="161"/>
      <c r="G6" s="161"/>
      <c r="H6" s="161"/>
      <c r="I6" s="161"/>
      <c r="J6" s="161"/>
      <c r="K6" s="161"/>
      <c r="L6" s="162"/>
    </row>
    <row r="7" spans="2:14">
      <c r="B7" s="151"/>
      <c r="C7" s="152"/>
      <c r="D7" s="152"/>
      <c r="E7" s="152"/>
      <c r="F7" s="153" t="s">
        <v>38</v>
      </c>
      <c r="G7" s="152"/>
      <c r="H7" s="152"/>
      <c r="I7" s="152"/>
      <c r="J7" s="152"/>
      <c r="K7" s="152"/>
      <c r="L7" s="154"/>
    </row>
    <row r="8" spans="2:14" s="16" customFormat="1">
      <c r="B8" s="1"/>
      <c r="C8" s="2"/>
      <c r="D8" s="2"/>
      <c r="E8" s="2"/>
      <c r="F8" s="29"/>
      <c r="G8" s="2"/>
      <c r="H8" s="2"/>
      <c r="I8" s="2"/>
      <c r="J8" s="2"/>
      <c r="K8" s="2"/>
      <c r="L8" s="3"/>
    </row>
    <row r="9" spans="2:14">
      <c r="B9" s="7" t="s">
        <v>7</v>
      </c>
      <c r="C9" s="2"/>
      <c r="D9" s="2"/>
      <c r="E9" s="2"/>
      <c r="F9" s="2"/>
      <c r="G9" s="2"/>
      <c r="H9" s="2"/>
      <c r="I9" s="2"/>
      <c r="J9" s="2"/>
      <c r="K9" s="2"/>
      <c r="L9" s="3"/>
    </row>
    <row r="10" spans="2:14">
      <c r="B10" s="7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2:14">
      <c r="B11" s="1"/>
      <c r="C11" s="2" t="s">
        <v>39</v>
      </c>
      <c r="D11" s="163" t="s">
        <v>238</v>
      </c>
      <c r="E11" s="163"/>
      <c r="F11" s="163"/>
      <c r="G11" s="163"/>
      <c r="H11" s="163"/>
      <c r="I11" s="163"/>
      <c r="J11" s="163"/>
      <c r="K11" s="163"/>
      <c r="L11" s="3"/>
    </row>
    <row r="12" spans="2:14">
      <c r="B12" s="1"/>
      <c r="C12" s="2"/>
      <c r="D12" s="163"/>
      <c r="E12" s="163"/>
      <c r="F12" s="163"/>
      <c r="G12" s="163"/>
      <c r="H12" s="163"/>
      <c r="I12" s="163"/>
      <c r="J12" s="163"/>
      <c r="K12" s="163"/>
      <c r="L12" s="3"/>
    </row>
    <row r="13" spans="2:14">
      <c r="B13" s="1"/>
      <c r="C13" s="2" t="s">
        <v>40</v>
      </c>
      <c r="D13" s="2"/>
      <c r="E13" s="8" t="s">
        <v>23</v>
      </c>
      <c r="F13" s="2"/>
      <c r="G13" s="2"/>
      <c r="H13" s="2"/>
      <c r="I13" s="2"/>
      <c r="J13" s="2"/>
      <c r="K13" s="2"/>
      <c r="L13" s="3"/>
    </row>
    <row r="14" spans="2:14">
      <c r="B14" s="1"/>
      <c r="C14" s="10" t="s">
        <v>6</v>
      </c>
      <c r="D14" s="11"/>
      <c r="E14" s="12">
        <v>43700</v>
      </c>
      <c r="F14" s="2"/>
      <c r="G14" s="2"/>
      <c r="H14" s="2"/>
      <c r="I14" s="2"/>
      <c r="J14" s="2"/>
      <c r="K14" s="2"/>
      <c r="L14" s="3"/>
      <c r="N14" s="2" t="s">
        <v>8</v>
      </c>
    </row>
    <row r="15" spans="2:14">
      <c r="B15" s="1"/>
      <c r="C15" s="10"/>
      <c r="D15" s="11"/>
      <c r="E15" s="12"/>
      <c r="F15" s="2"/>
      <c r="G15" s="2"/>
      <c r="H15" s="2"/>
      <c r="I15" s="2"/>
      <c r="J15" s="2"/>
      <c r="K15" s="2"/>
      <c r="L15" s="3"/>
    </row>
    <row r="16" spans="2:14">
      <c r="B16" s="7" t="s">
        <v>7</v>
      </c>
      <c r="C16" s="2"/>
      <c r="D16" s="2"/>
      <c r="E16" s="8"/>
      <c r="F16" s="2"/>
      <c r="G16" s="2"/>
      <c r="H16" s="2"/>
      <c r="I16" s="2"/>
      <c r="J16" s="2"/>
      <c r="K16" s="2"/>
      <c r="L16" s="3"/>
    </row>
    <row r="17" spans="2:12">
      <c r="B17" s="1"/>
      <c r="C17" s="2" t="s">
        <v>13</v>
      </c>
      <c r="D17" s="2"/>
      <c r="E17" s="9" t="s">
        <v>244</v>
      </c>
      <c r="F17" s="2"/>
      <c r="G17" t="s">
        <v>24</v>
      </c>
      <c r="H17" s="2"/>
      <c r="I17" s="2"/>
      <c r="J17" s="2"/>
      <c r="K17" s="2"/>
      <c r="L17" s="3"/>
    </row>
    <row r="18" spans="2:12">
      <c r="B18" s="1"/>
      <c r="C18" s="2"/>
      <c r="D18" s="2"/>
      <c r="E18" s="2" t="s">
        <v>25</v>
      </c>
      <c r="F18" s="2"/>
      <c r="G18" s="2"/>
      <c r="H18" s="2"/>
      <c r="I18" s="2"/>
      <c r="J18" s="2"/>
      <c r="K18" s="2"/>
      <c r="L18" s="3"/>
    </row>
    <row r="19" spans="2:12">
      <c r="B19" s="1"/>
      <c r="C19" t="s">
        <v>14</v>
      </c>
      <c r="E19" t="s">
        <v>15</v>
      </c>
      <c r="F19" s="2"/>
      <c r="G19" s="2"/>
      <c r="H19" s="2"/>
      <c r="I19" s="2"/>
      <c r="J19" s="2"/>
      <c r="K19" s="2"/>
      <c r="L19" s="3"/>
    </row>
    <row r="20" spans="2:12">
      <c r="B20" s="1"/>
      <c r="F20" s="2"/>
      <c r="G20" s="2"/>
      <c r="H20" s="2"/>
      <c r="I20" s="2"/>
      <c r="J20" s="2"/>
      <c r="K20" s="2"/>
      <c r="L20" s="3"/>
    </row>
    <row r="21" spans="2:12" ht="15.75" thickBot="1">
      <c r="B21" s="4"/>
      <c r="C21" s="5"/>
      <c r="D21" s="5"/>
      <c r="E21" s="5"/>
      <c r="F21" s="5"/>
      <c r="G21" s="5"/>
      <c r="H21" s="5"/>
      <c r="I21" s="5"/>
      <c r="J21" s="5"/>
      <c r="K21" s="5"/>
      <c r="L21" s="6"/>
    </row>
  </sheetData>
  <mergeCells count="5">
    <mergeCell ref="B3:L3"/>
    <mergeCell ref="B4:L4"/>
    <mergeCell ref="B5:L5"/>
    <mergeCell ref="D11:K12"/>
    <mergeCell ref="B6:L6"/>
  </mergeCells>
  <pageMargins left="0.511811024" right="0.511811024" top="0.78740157499999996" bottom="0.78740157499999996" header="0.31496062000000002" footer="0.31496062000000002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6:G20"/>
  <sheetViews>
    <sheetView tabSelected="1" view="pageBreakPreview" zoomScaleNormal="100" zoomScaleSheetLayoutView="100" workbookViewId="0">
      <selection activeCell="B9" sqref="B9"/>
    </sheetView>
  </sheetViews>
  <sheetFormatPr defaultRowHeight="15"/>
  <cols>
    <col min="1" max="1" width="4.5703125" style="16" customWidth="1"/>
    <col min="2" max="2" width="7.5703125" style="16" customWidth="1"/>
    <col min="3" max="3" width="36.85546875" style="16" customWidth="1"/>
    <col min="4" max="4" width="10" style="38" bestFit="1" customWidth="1"/>
    <col min="5" max="5" width="15.5703125" style="16" customWidth="1"/>
    <col min="6" max="6" width="14" style="16" customWidth="1"/>
    <col min="7" max="7" width="15.42578125" style="16" customWidth="1"/>
    <col min="8" max="8" width="11.28515625" style="16" customWidth="1"/>
    <col min="9" max="10" width="14.28515625" style="16" bestFit="1" customWidth="1"/>
    <col min="11" max="11" width="9.5703125" style="16" bestFit="1" customWidth="1"/>
    <col min="12" max="16384" width="9.140625" style="16"/>
  </cols>
  <sheetData>
    <row r="6" spans="2:7" customFormat="1">
      <c r="D6" s="38"/>
    </row>
    <row r="7" spans="2:7" ht="31.5">
      <c r="B7" s="45" t="s">
        <v>0</v>
      </c>
      <c r="C7" s="45" t="s">
        <v>3</v>
      </c>
      <c r="D7" s="45" t="s">
        <v>48</v>
      </c>
      <c r="E7" s="46" t="s">
        <v>198</v>
      </c>
      <c r="F7" s="46" t="s">
        <v>42</v>
      </c>
      <c r="G7" s="46" t="s">
        <v>235</v>
      </c>
    </row>
    <row r="8" spans="2:7" ht="45">
      <c r="B8" s="87">
        <v>1</v>
      </c>
      <c r="C8" s="86" t="str">
        <f>VLOOKUP(B8,'B2-Composições'!B:G,3,FALSE)</f>
        <v>Hora técnica, sob demanda, de serviços de topografia/geotecnia/ambiental, inclusive custos diretos e indiretos</v>
      </c>
      <c r="D8" s="41" t="str">
        <f>VLOOKUP(B8,'B2-Composições'!B:G,4,FALSE)</f>
        <v>HT</v>
      </c>
      <c r="E8" s="33">
        <v>200</v>
      </c>
      <c r="F8" s="42">
        <f>VLOOKUP(B8,'B2-Composições'!B:G,6,FALSE)</f>
        <v>156.40688786301371</v>
      </c>
      <c r="G8" s="44">
        <f t="shared" ref="G8:G10" si="0">+E8*F8</f>
        <v>31281.377572602742</v>
      </c>
    </row>
    <row r="9" spans="2:7" ht="75">
      <c r="B9" s="87">
        <v>2</v>
      </c>
      <c r="C9" s="86" t="str">
        <f>VLOOKUP(B9,'B2-Composições'!B:G,3,FALSE)</f>
        <v>Hora técnica, sob demanda, de serviços de estudos e projetos de arquitetura e engenharia (serviços, obras e reformas), inclusive custos diretos e indiretos</v>
      </c>
      <c r="D9" s="41" t="str">
        <f>VLOOKUP(B9,'B2-Composições'!B:G,4,FALSE)</f>
        <v>HT</v>
      </c>
      <c r="E9" s="33">
        <v>500</v>
      </c>
      <c r="F9" s="42">
        <f>VLOOKUP(B9,'B2-Composições'!B:G,6,FALSE)</f>
        <v>215.7455076164384</v>
      </c>
      <c r="G9" s="44">
        <f t="shared" si="0"/>
        <v>107872.7538082192</v>
      </c>
    </row>
    <row r="10" spans="2:7" ht="60">
      <c r="B10" s="87">
        <v>3</v>
      </c>
      <c r="C10" s="86" t="str">
        <f>VLOOKUP(B10,'B2-Composições'!B:G,3,FALSE)</f>
        <v>Hora técnica, sob demanda, para planejamento de obras (orçamento e cronograma), inclusive custos diretos e indiretos</v>
      </c>
      <c r="D10" s="41" t="str">
        <f>VLOOKUP(B10,'B2-Composições'!B:G,4,FALSE)</f>
        <v>HT</v>
      </c>
      <c r="E10" s="33">
        <v>200</v>
      </c>
      <c r="F10" s="42">
        <f>VLOOKUP(B10,'B2-Composições'!B:G,6,FALSE)</f>
        <v>211.69277506849318</v>
      </c>
      <c r="G10" s="44">
        <f t="shared" si="0"/>
        <v>42338.555013698635</v>
      </c>
    </row>
    <row r="11" spans="2:7">
      <c r="B11" s="164" t="s">
        <v>239</v>
      </c>
      <c r="C11" s="164"/>
      <c r="D11" s="164"/>
      <c r="E11" s="164"/>
      <c r="F11" s="164"/>
      <c r="G11" s="43">
        <f>SUM(G8:G10)</f>
        <v>181492.6863945206</v>
      </c>
    </row>
    <row r="12" spans="2:7">
      <c r="C12" s="40"/>
    </row>
    <row r="13" spans="2:7">
      <c r="B13" s="28" t="s">
        <v>236</v>
      </c>
      <c r="C13" s="40"/>
    </row>
    <row r="14" spans="2:7">
      <c r="B14" s="28" t="s">
        <v>228</v>
      </c>
      <c r="C14" s="28"/>
    </row>
    <row r="15" spans="2:7">
      <c r="B15" s="28" t="s">
        <v>237</v>
      </c>
      <c r="C15" s="28"/>
    </row>
    <row r="16" spans="2:7">
      <c r="B16" s="28" t="s">
        <v>185</v>
      </c>
    </row>
    <row r="17" spans="2:2">
      <c r="B17" s="28" t="s">
        <v>229</v>
      </c>
    </row>
    <row r="18" spans="2:2">
      <c r="B18" s="28" t="s">
        <v>186</v>
      </c>
    </row>
    <row r="19" spans="2:2">
      <c r="B19" s="37" t="s">
        <v>245</v>
      </c>
    </row>
    <row r="20" spans="2:2">
      <c r="B20" s="28"/>
    </row>
  </sheetData>
  <mergeCells count="1">
    <mergeCell ref="B11:F11"/>
  </mergeCells>
  <conditionalFormatting sqref="C12:C13">
    <cfRule type="expression" dxfId="0" priority="2">
      <formula>IF(AND($A23&lt;&gt;"",$B23=""),TRUE,FALSE)</formula>
    </cfRule>
  </conditionalFormatting>
  <pageMargins left="0.511811024" right="0.511811024" top="0.78740157499999996" bottom="0.78740157499999996" header="0.31496062000000002" footer="0.31496062000000002"/>
  <pageSetup paperSize="9" scale="81" fitToHeight="0" orientation="portrait" r:id="rId1"/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view="pageBreakPreview" zoomScale="85" zoomScaleNormal="100" zoomScaleSheetLayoutView="85" workbookViewId="0">
      <selection activeCell="E14" sqref="E14"/>
    </sheetView>
  </sheetViews>
  <sheetFormatPr defaultRowHeight="15"/>
  <cols>
    <col min="1" max="1" width="3" style="16" customWidth="1"/>
    <col min="3" max="3" width="12.28515625" style="16" bestFit="1" customWidth="1"/>
    <col min="4" max="4" width="58.85546875" customWidth="1"/>
    <col min="5" max="5" width="13.85546875" bestFit="1" customWidth="1"/>
    <col min="6" max="6" width="9.28515625" bestFit="1" customWidth="1"/>
    <col min="7" max="7" width="21" bestFit="1" customWidth="1"/>
    <col min="8" max="8" width="20.28515625" customWidth="1"/>
    <col min="9" max="9" width="4" customWidth="1"/>
    <col min="10" max="10" width="5.140625" customWidth="1"/>
    <col min="11" max="11" width="10.28515625" customWidth="1"/>
    <col min="12" max="12" width="14.28515625" bestFit="1" customWidth="1"/>
    <col min="13" max="13" width="13.85546875" style="77" customWidth="1"/>
  </cols>
  <sheetData>
    <row r="1" spans="2:13" s="16" customFormat="1" ht="21">
      <c r="B1" s="30"/>
      <c r="I1"/>
      <c r="J1"/>
      <c r="K1"/>
      <c r="L1"/>
      <c r="M1" s="77"/>
    </row>
    <row r="2" spans="2:13" s="16" customFormat="1" ht="21">
      <c r="B2" s="30"/>
      <c r="C2" s="30"/>
      <c r="I2"/>
      <c r="J2"/>
      <c r="K2"/>
      <c r="L2"/>
      <c r="M2" s="77"/>
    </row>
    <row r="3" spans="2:13" s="16" customFormat="1" ht="21">
      <c r="B3" s="30"/>
      <c r="C3" s="30"/>
      <c r="I3"/>
      <c r="J3"/>
      <c r="K3"/>
      <c r="L3"/>
      <c r="M3" s="77"/>
    </row>
    <row r="4" spans="2:13">
      <c r="K4" t="s">
        <v>223</v>
      </c>
    </row>
    <row r="5" spans="2:13" s="16" customFormat="1">
      <c r="I5"/>
      <c r="J5"/>
      <c r="K5" s="139" t="s">
        <v>222</v>
      </c>
      <c r="L5"/>
      <c r="M5" s="77"/>
    </row>
    <row r="6" spans="2:13">
      <c r="B6" s="61" t="s">
        <v>0</v>
      </c>
      <c r="C6" s="61" t="s">
        <v>18</v>
      </c>
      <c r="D6" s="61" t="s">
        <v>3</v>
      </c>
      <c r="E6" s="61" t="s">
        <v>48</v>
      </c>
      <c r="F6" s="61" t="s">
        <v>126</v>
      </c>
      <c r="G6" s="61" t="s">
        <v>41</v>
      </c>
      <c r="H6" s="61" t="s">
        <v>109</v>
      </c>
      <c r="K6" s="140" t="s">
        <v>137</v>
      </c>
      <c r="L6" s="141" t="s">
        <v>184</v>
      </c>
      <c r="M6" s="141" t="s">
        <v>221</v>
      </c>
    </row>
    <row r="7" spans="2:13" s="16" customFormat="1" ht="45">
      <c r="B7" s="51">
        <v>1</v>
      </c>
      <c r="C7" s="51"/>
      <c r="D7" s="74" t="s">
        <v>246</v>
      </c>
      <c r="E7" s="51" t="s">
        <v>226</v>
      </c>
      <c r="F7" s="75">
        <f>'B1-Sintético'!$E$8</f>
        <v>200</v>
      </c>
      <c r="G7" s="79">
        <f>H20</f>
        <v>156.40688786301371</v>
      </c>
      <c r="H7" s="76">
        <f>F7*G7</f>
        <v>31281.377572602742</v>
      </c>
      <c r="K7" s="142"/>
      <c r="L7" s="141"/>
      <c r="M7" s="143"/>
    </row>
    <row r="8" spans="2:13" s="16" customFormat="1">
      <c r="B8" s="31"/>
      <c r="C8" s="41" t="s">
        <v>194</v>
      </c>
      <c r="D8" s="32" t="str">
        <f>VLOOKUP(C8,$C$56:$H$67,2,FALSE)</f>
        <v>Engenheiro Pleno (Civil) Ref. 40937 Sinapi - mensalista</v>
      </c>
      <c r="E8" s="41" t="s">
        <v>108</v>
      </c>
      <c r="F8" s="121">
        <v>0.15</v>
      </c>
      <c r="G8" s="62">
        <f>VLOOKUP(C8,$C$56:$H$67,6,FALSE)</f>
        <v>49.12</v>
      </c>
      <c r="H8" s="62">
        <f t="shared" ref="H8" si="0">F8*G8</f>
        <v>7.3679999999999994</v>
      </c>
      <c r="K8" s="142">
        <f t="shared" ref="K8:K13" si="1">$F$7*F8</f>
        <v>30</v>
      </c>
      <c r="L8" s="144">
        <f t="shared" ref="L8:L16" si="2">G8*K8</f>
        <v>1473.6</v>
      </c>
      <c r="M8" s="143"/>
    </row>
    <row r="9" spans="2:13" s="16" customFormat="1">
      <c r="B9" s="31"/>
      <c r="C9" s="41" t="s">
        <v>208</v>
      </c>
      <c r="D9" s="32" t="str">
        <f>VLOOKUP(C9,$C$56:$H$67,2,FALSE)</f>
        <v>Engenheiro Ambiental - Ref. 40937 Sinapi - mensalista</v>
      </c>
      <c r="E9" s="41" t="s">
        <v>108</v>
      </c>
      <c r="F9" s="121">
        <v>0.15</v>
      </c>
      <c r="G9" s="62">
        <f>VLOOKUP(C9,$C$56:$H$67,6,FALSE)</f>
        <v>49.12</v>
      </c>
      <c r="H9" s="62">
        <f>F9*G9</f>
        <v>7.3679999999999994</v>
      </c>
      <c r="K9" s="142">
        <f t="shared" si="1"/>
        <v>30</v>
      </c>
      <c r="L9" s="144">
        <f t="shared" ref="L9" si="3">G9*K9</f>
        <v>1473.6</v>
      </c>
      <c r="M9" s="143"/>
    </row>
    <row r="10" spans="2:13" s="16" customFormat="1">
      <c r="B10" s="31"/>
      <c r="C10" s="41" t="s">
        <v>210</v>
      </c>
      <c r="D10" s="32" t="str">
        <f>VLOOKUP(C10,$C$56:$H$67,2,FALSE)</f>
        <v>Topógrafo - Ref 40820 Sinapi - mensalista</v>
      </c>
      <c r="E10" s="41" t="s">
        <v>108</v>
      </c>
      <c r="F10" s="121">
        <v>1</v>
      </c>
      <c r="G10" s="62">
        <f>VLOOKUP(C10,$C$56:$H$67,6,FALSE)</f>
        <v>7.43</v>
      </c>
      <c r="H10" s="62">
        <f t="shared" ref="H10" si="4">F10*G10</f>
        <v>7.43</v>
      </c>
      <c r="K10" s="142">
        <f t="shared" si="1"/>
        <v>200</v>
      </c>
      <c r="L10" s="144">
        <f t="shared" si="2"/>
        <v>1486</v>
      </c>
      <c r="M10" s="143"/>
    </row>
    <row r="11" spans="2:13" s="16" customFormat="1">
      <c r="B11" s="31"/>
      <c r="C11" s="41" t="s">
        <v>212</v>
      </c>
      <c r="D11" s="32" t="str">
        <f>VLOOKUP(C11,$C$56:$H$69,2,FALSE)</f>
        <v>Auxiliar de topógrafo - Ref. 41093 - mensalista</v>
      </c>
      <c r="E11" s="41" t="s">
        <v>108</v>
      </c>
      <c r="F11" s="121">
        <v>2</v>
      </c>
      <c r="G11" s="62">
        <f>VLOOKUP(C11,$C$56:$H$69,6,FALSE)</f>
        <v>3.04</v>
      </c>
      <c r="H11" s="62">
        <f t="shared" ref="H11:H13" si="5">F11*G11</f>
        <v>6.08</v>
      </c>
      <c r="K11" s="142">
        <f t="shared" si="1"/>
        <v>400</v>
      </c>
      <c r="L11" s="144">
        <f t="shared" si="2"/>
        <v>1216</v>
      </c>
      <c r="M11" s="143"/>
    </row>
    <row r="12" spans="2:13" s="16" customFormat="1">
      <c r="B12" s="31"/>
      <c r="C12" s="41" t="s">
        <v>217</v>
      </c>
      <c r="D12" s="32" t="str">
        <f>VLOOKUP(C12,TAB_INSUMOS,2,FALSE)</f>
        <v>Técnico em sondagem - Ref 41092 - mensalista</v>
      </c>
      <c r="E12" s="41" t="s">
        <v>108</v>
      </c>
      <c r="F12" s="121">
        <v>1</v>
      </c>
      <c r="G12" s="62">
        <f>VLOOKUP(C12,TAB_INSUMOS,6,FALSE)</f>
        <v>13.36</v>
      </c>
      <c r="H12" s="62">
        <f t="shared" si="5"/>
        <v>13.36</v>
      </c>
      <c r="K12" s="142">
        <f t="shared" si="1"/>
        <v>200</v>
      </c>
      <c r="L12" s="144">
        <f t="shared" ref="L12:L13" si="6">G12*K12</f>
        <v>2672</v>
      </c>
      <c r="M12" s="143"/>
    </row>
    <row r="13" spans="2:13" s="16" customFormat="1">
      <c r="B13" s="31"/>
      <c r="C13" s="41" t="s">
        <v>214</v>
      </c>
      <c r="D13" s="32" t="str">
        <f>VLOOKUP(C13,TAB_INSUMOS,2,FALSE)</f>
        <v>Auxiliar técnico de engenharia - Ref. 40931 - mensalista</v>
      </c>
      <c r="E13" s="41" t="s">
        <v>108</v>
      </c>
      <c r="F13" s="121">
        <v>2</v>
      </c>
      <c r="G13" s="62">
        <f>VLOOKUP(C13,TAB_INSUMOS,6,FALSE)</f>
        <v>11.47</v>
      </c>
      <c r="H13" s="62">
        <f t="shared" si="5"/>
        <v>22.94</v>
      </c>
      <c r="K13" s="142">
        <f t="shared" si="1"/>
        <v>400</v>
      </c>
      <c r="L13" s="144">
        <f t="shared" si="6"/>
        <v>4588</v>
      </c>
      <c r="M13" s="143"/>
    </row>
    <row r="14" spans="2:13" s="16" customFormat="1">
      <c r="B14" s="125"/>
      <c r="C14" s="126" t="s">
        <v>112</v>
      </c>
      <c r="D14" s="132" t="s">
        <v>118</v>
      </c>
      <c r="E14" s="126" t="s">
        <v>2</v>
      </c>
      <c r="F14" s="127">
        <f>FatorK1</f>
        <v>0.73510000000000009</v>
      </c>
      <c r="G14" s="128">
        <f>SUM(H8:H13)*F14</f>
        <v>47.447764599999999</v>
      </c>
      <c r="H14" s="128">
        <f>1*G14</f>
        <v>47.447764599999999</v>
      </c>
      <c r="K14" s="142">
        <f>$F$7</f>
        <v>200</v>
      </c>
      <c r="L14" s="144">
        <f t="shared" si="2"/>
        <v>9489.5529200000001</v>
      </c>
      <c r="M14" s="143"/>
    </row>
    <row r="15" spans="2:13" s="16" customFormat="1" ht="30">
      <c r="B15" s="125"/>
      <c r="C15" s="126" t="s">
        <v>113</v>
      </c>
      <c r="D15" s="129" t="s">
        <v>116</v>
      </c>
      <c r="E15" s="126" t="s">
        <v>2</v>
      </c>
      <c r="F15" s="127">
        <f>FatorK2</f>
        <v>9.9999999999999992E-2</v>
      </c>
      <c r="G15" s="130">
        <f>F15*SUM(H8:H13)</f>
        <v>6.4545999999999983</v>
      </c>
      <c r="H15" s="128">
        <f>G15</f>
        <v>6.4545999999999983</v>
      </c>
      <c r="K15" s="142">
        <f>$F$7</f>
        <v>200</v>
      </c>
      <c r="L15" s="144">
        <f t="shared" si="2"/>
        <v>1290.9199999999996</v>
      </c>
      <c r="M15" s="143"/>
    </row>
    <row r="16" spans="2:13" s="16" customFormat="1" ht="30">
      <c r="B16" s="31"/>
      <c r="C16" s="41" t="s">
        <v>127</v>
      </c>
      <c r="D16" s="32" t="s">
        <v>125</v>
      </c>
      <c r="E16" s="41" t="s">
        <v>108</v>
      </c>
      <c r="F16" s="33">
        <f>SUM(F8:F11)</f>
        <v>3.3</v>
      </c>
      <c r="G16" s="62">
        <f>'B4d-EC'!$E$11</f>
        <v>2.5499999999999998</v>
      </c>
      <c r="H16" s="62">
        <f>F16*G16</f>
        <v>8.4149999999999991</v>
      </c>
      <c r="K16" s="142">
        <f>$F$7*F16</f>
        <v>660</v>
      </c>
      <c r="L16" s="144">
        <f t="shared" si="2"/>
        <v>1682.9999999999998</v>
      </c>
      <c r="M16" s="143"/>
    </row>
    <row r="17" spans="2:13" s="16" customFormat="1">
      <c r="B17" s="166" t="s">
        <v>111</v>
      </c>
      <c r="C17" s="166"/>
      <c r="D17" s="166"/>
      <c r="E17" s="166"/>
      <c r="F17" s="166"/>
      <c r="G17" s="166"/>
      <c r="H17" s="63">
        <f>SUM(H8:H16)</f>
        <v>126.86336459999998</v>
      </c>
      <c r="K17" s="142"/>
      <c r="L17" s="141"/>
      <c r="M17" s="143"/>
    </row>
    <row r="18" spans="2:13" s="16" customFormat="1">
      <c r="B18" s="125"/>
      <c r="C18" s="126" t="s">
        <v>114</v>
      </c>
      <c r="D18" s="125" t="s">
        <v>117</v>
      </c>
      <c r="E18" s="126" t="s">
        <v>2</v>
      </c>
      <c r="F18" s="131">
        <f>FatorK3</f>
        <v>0.08</v>
      </c>
      <c r="G18" s="130">
        <f>H17*F18</f>
        <v>10.149069167999999</v>
      </c>
      <c r="H18" s="128">
        <f>G18</f>
        <v>10.149069167999999</v>
      </c>
      <c r="K18" s="142">
        <f>$F$7</f>
        <v>200</v>
      </c>
      <c r="L18" s="144">
        <f>G18*K18</f>
        <v>2029.8138335999997</v>
      </c>
      <c r="M18" s="143"/>
    </row>
    <row r="19" spans="2:13" s="16" customFormat="1">
      <c r="B19" s="125"/>
      <c r="C19" s="126" t="s">
        <v>115</v>
      </c>
      <c r="D19" s="125" t="s">
        <v>197</v>
      </c>
      <c r="E19" s="126" t="s">
        <v>2</v>
      </c>
      <c r="F19" s="127">
        <f>FatorK4</f>
        <v>0.14155251141552516</v>
      </c>
      <c r="G19" s="130">
        <f>F19*(H17+H18)</f>
        <v>19.394454095013703</v>
      </c>
      <c r="H19" s="128">
        <f>G19</f>
        <v>19.394454095013703</v>
      </c>
      <c r="K19" s="142">
        <f>$F$7</f>
        <v>200</v>
      </c>
      <c r="L19" s="144">
        <f>G19*K19</f>
        <v>3878.8908190027405</v>
      </c>
      <c r="M19" s="143"/>
    </row>
    <row r="20" spans="2:13" s="16" customFormat="1">
      <c r="B20" s="165" t="s">
        <v>110</v>
      </c>
      <c r="C20" s="165"/>
      <c r="D20" s="165"/>
      <c r="E20" s="165"/>
      <c r="F20" s="165"/>
      <c r="G20" s="165"/>
      <c r="H20" s="47">
        <f>SUM(H17:H19)</f>
        <v>156.40688786301371</v>
      </c>
      <c r="K20" s="142"/>
      <c r="L20" s="141" t="s">
        <v>220</v>
      </c>
      <c r="M20" s="145">
        <f>SUM(L8:L19)</f>
        <v>31281.377572602738</v>
      </c>
    </row>
    <row r="21" spans="2:13" s="16" customFormat="1">
      <c r="B21" s="78"/>
      <c r="C21" s="78"/>
      <c r="D21" s="78"/>
      <c r="E21" s="78"/>
      <c r="F21" s="78"/>
      <c r="G21" s="78"/>
      <c r="H21" s="78"/>
      <c r="K21" s="142"/>
      <c r="L21" s="141"/>
      <c r="M21" s="143"/>
    </row>
    <row r="22" spans="2:13" s="16" customFormat="1" ht="45">
      <c r="B22" s="51">
        <v>2</v>
      </c>
      <c r="C22" s="51"/>
      <c r="D22" s="74" t="s">
        <v>243</v>
      </c>
      <c r="E22" s="51" t="s">
        <v>226</v>
      </c>
      <c r="F22" s="75">
        <f>'B1-Sintético'!$E$9</f>
        <v>500</v>
      </c>
      <c r="G22" s="79">
        <f>H36</f>
        <v>215.7455076164384</v>
      </c>
      <c r="H22" s="76">
        <f>F22*G22</f>
        <v>107872.7538082192</v>
      </c>
      <c r="K22" s="142"/>
      <c r="L22" s="141"/>
      <c r="M22" s="143"/>
    </row>
    <row r="23" spans="2:13" s="16" customFormat="1" ht="30">
      <c r="B23" s="31"/>
      <c r="C23" s="41" t="s">
        <v>195</v>
      </c>
      <c r="D23" s="32" t="str">
        <f t="shared" ref="D23:D29" si="7">VLOOKUP(C23,$C$56:$H$67,2,FALSE)</f>
        <v>Gerente de projetos (Engenheiro ou Arquiteto Sênior) - Ref. 40938 Sinapi - mensalista</v>
      </c>
      <c r="E23" s="41" t="s">
        <v>108</v>
      </c>
      <c r="F23" s="121">
        <v>0.1</v>
      </c>
      <c r="G23" s="62">
        <f t="shared" ref="G23:G29" si="8">VLOOKUP(C23,$C$56:$H$67,6,FALSE)</f>
        <v>67.31</v>
      </c>
      <c r="H23" s="62">
        <f t="shared" ref="H23:H29" si="9">F23*G23</f>
        <v>6.7310000000000008</v>
      </c>
      <c r="K23" s="142">
        <f>F23*$F$22</f>
        <v>50</v>
      </c>
      <c r="L23" s="144">
        <f t="shared" ref="L23:L32" si="10">G23*K23</f>
        <v>3365.5</v>
      </c>
      <c r="M23" s="143"/>
    </row>
    <row r="24" spans="2:13" s="16" customFormat="1">
      <c r="B24" s="31"/>
      <c r="C24" s="41" t="s">
        <v>190</v>
      </c>
      <c r="D24" s="32" t="str">
        <f t="shared" si="7"/>
        <v>Arquiteto Sênior - Ref. 40817 Sinapi -  mensalista</v>
      </c>
      <c r="E24" s="41" t="s">
        <v>108</v>
      </c>
      <c r="F24" s="121">
        <v>0.4</v>
      </c>
      <c r="G24" s="62">
        <f t="shared" si="8"/>
        <v>59.4</v>
      </c>
      <c r="H24" s="62">
        <f t="shared" si="9"/>
        <v>23.76</v>
      </c>
      <c r="K24" s="142">
        <f t="shared" ref="K24:K29" si="11">F24*$F$22</f>
        <v>200</v>
      </c>
      <c r="L24" s="144">
        <f t="shared" si="10"/>
        <v>11880</v>
      </c>
      <c r="M24" s="143"/>
    </row>
    <row r="25" spans="2:13" s="16" customFormat="1">
      <c r="B25" s="31"/>
      <c r="C25" s="41" t="s">
        <v>194</v>
      </c>
      <c r="D25" s="32" t="str">
        <f t="shared" si="7"/>
        <v>Engenheiro Pleno (Civil) Ref. 40937 Sinapi - mensalista</v>
      </c>
      <c r="E25" s="41" t="s">
        <v>108</v>
      </c>
      <c r="F25" s="121">
        <v>0.5</v>
      </c>
      <c r="G25" s="62">
        <f t="shared" si="8"/>
        <v>49.12</v>
      </c>
      <c r="H25" s="62">
        <f t="shared" si="9"/>
        <v>24.56</v>
      </c>
      <c r="K25" s="142">
        <f t="shared" ref="K25:K27" si="12">F25*$F$22</f>
        <v>250</v>
      </c>
      <c r="L25" s="144">
        <f t="shared" ref="L25:L27" si="13">G25*K25</f>
        <v>12280</v>
      </c>
      <c r="M25" s="143"/>
    </row>
    <row r="26" spans="2:13" s="16" customFormat="1">
      <c r="B26" s="31"/>
      <c r="C26" s="41" t="s">
        <v>193</v>
      </c>
      <c r="D26" s="32" t="str">
        <f t="shared" si="7"/>
        <v>Engenheiro Pleno (Elétrica) Ref. 40939 Sinapi - mensalista</v>
      </c>
      <c r="E26" s="41" t="s">
        <v>108</v>
      </c>
      <c r="F26" s="121">
        <v>0.2</v>
      </c>
      <c r="G26" s="62">
        <f t="shared" si="8"/>
        <v>42.91</v>
      </c>
      <c r="H26" s="62">
        <f t="shared" si="9"/>
        <v>8.581999999999999</v>
      </c>
      <c r="K26" s="142">
        <f t="shared" si="12"/>
        <v>100</v>
      </c>
      <c r="L26" s="144">
        <f t="shared" si="13"/>
        <v>4291</v>
      </c>
      <c r="M26" s="143"/>
    </row>
    <row r="27" spans="2:13" s="16" customFormat="1">
      <c r="B27" s="31"/>
      <c r="C27" s="41" t="s">
        <v>192</v>
      </c>
      <c r="D27" s="32" t="str">
        <f t="shared" si="7"/>
        <v>Engenheiro Pleno (Mecânica) - Ref. 40939 Sinapi - mensalista</v>
      </c>
      <c r="E27" s="41" t="s">
        <v>108</v>
      </c>
      <c r="F27" s="121">
        <v>0.1</v>
      </c>
      <c r="G27" s="62">
        <f t="shared" si="8"/>
        <v>42.91</v>
      </c>
      <c r="H27" s="62">
        <f t="shared" si="9"/>
        <v>4.2909999999999995</v>
      </c>
      <c r="K27" s="142">
        <f t="shared" si="12"/>
        <v>50</v>
      </c>
      <c r="L27" s="144">
        <f t="shared" si="13"/>
        <v>2145.5</v>
      </c>
      <c r="M27" s="143"/>
    </row>
    <row r="28" spans="2:13" s="16" customFormat="1">
      <c r="B28" s="31"/>
      <c r="C28" s="41" t="s">
        <v>215</v>
      </c>
      <c r="D28" s="32" t="str">
        <f t="shared" si="7"/>
        <v>Desenhista auxiliar - Ref. 40808 - mensalista</v>
      </c>
      <c r="E28" s="41" t="s">
        <v>108</v>
      </c>
      <c r="F28" s="121">
        <v>1</v>
      </c>
      <c r="G28" s="62">
        <f t="shared" si="8"/>
        <v>7.28</v>
      </c>
      <c r="H28" s="62">
        <f t="shared" si="9"/>
        <v>7.28</v>
      </c>
      <c r="K28" s="142">
        <f t="shared" si="11"/>
        <v>500</v>
      </c>
      <c r="L28" s="144">
        <f t="shared" si="10"/>
        <v>3640</v>
      </c>
      <c r="M28" s="143"/>
    </row>
    <row r="29" spans="2:13" s="16" customFormat="1">
      <c r="B29" s="31"/>
      <c r="C29" s="41" t="s">
        <v>191</v>
      </c>
      <c r="D29" s="32" t="str">
        <f t="shared" si="7"/>
        <v>Desenhista/Cadista - Ref. 40807 - mensalista</v>
      </c>
      <c r="E29" s="41" t="s">
        <v>108</v>
      </c>
      <c r="F29" s="121">
        <v>2</v>
      </c>
      <c r="G29" s="62">
        <f t="shared" si="8"/>
        <v>7.09</v>
      </c>
      <c r="H29" s="62">
        <f t="shared" si="9"/>
        <v>14.18</v>
      </c>
      <c r="K29" s="142">
        <f t="shared" si="11"/>
        <v>1000</v>
      </c>
      <c r="L29" s="144">
        <f t="shared" si="10"/>
        <v>7090</v>
      </c>
      <c r="M29" s="143"/>
    </row>
    <row r="30" spans="2:13" s="16" customFormat="1">
      <c r="B30" s="125"/>
      <c r="C30" s="126" t="s">
        <v>112</v>
      </c>
      <c r="D30" s="132" t="s">
        <v>118</v>
      </c>
      <c r="E30" s="126" t="s">
        <v>2</v>
      </c>
      <c r="F30" s="127">
        <f>FatorK1</f>
        <v>0.73510000000000009</v>
      </c>
      <c r="G30" s="128">
        <f>SUM(H23:H29)*F30</f>
        <v>65.706178400000013</v>
      </c>
      <c r="H30" s="128">
        <f>1*G30</f>
        <v>65.706178400000013</v>
      </c>
      <c r="K30" s="142">
        <f>$F$22</f>
        <v>500</v>
      </c>
      <c r="L30" s="144">
        <f t="shared" si="10"/>
        <v>32853.089200000009</v>
      </c>
      <c r="M30" s="143"/>
    </row>
    <row r="31" spans="2:13" s="16" customFormat="1" ht="30">
      <c r="B31" s="125"/>
      <c r="C31" s="126" t="s">
        <v>113</v>
      </c>
      <c r="D31" s="129" t="s">
        <v>116</v>
      </c>
      <c r="E31" s="126" t="s">
        <v>2</v>
      </c>
      <c r="F31" s="127">
        <f>FatorK2</f>
        <v>9.9999999999999992E-2</v>
      </c>
      <c r="G31" s="130">
        <f>F31*SUM(H23:H29)</f>
        <v>8.9384000000000015</v>
      </c>
      <c r="H31" s="128">
        <f>G31</f>
        <v>8.9384000000000015</v>
      </c>
      <c r="K31" s="142">
        <f>$F$22</f>
        <v>500</v>
      </c>
      <c r="L31" s="144">
        <f t="shared" si="10"/>
        <v>4469.2000000000007</v>
      </c>
      <c r="M31" s="143"/>
    </row>
    <row r="32" spans="2:13" s="16" customFormat="1" ht="30">
      <c r="B32" s="31"/>
      <c r="C32" s="41" t="s">
        <v>127</v>
      </c>
      <c r="D32" s="32" t="s">
        <v>125</v>
      </c>
      <c r="E32" s="41" t="s">
        <v>108</v>
      </c>
      <c r="F32" s="33">
        <f>SUM(F23:F29)</f>
        <v>4.3</v>
      </c>
      <c r="G32" s="62">
        <f>'B4d-EC'!$E$11</f>
        <v>2.5499999999999998</v>
      </c>
      <c r="H32" s="62">
        <f>F32*G32</f>
        <v>10.964999999999998</v>
      </c>
      <c r="K32" s="142">
        <f t="shared" ref="K32" si="14">F32*$F$22</f>
        <v>2150</v>
      </c>
      <c r="L32" s="144">
        <f t="shared" si="10"/>
        <v>5482.5</v>
      </c>
      <c r="M32" s="143"/>
    </row>
    <row r="33" spans="2:13" s="16" customFormat="1">
      <c r="B33" s="166" t="s">
        <v>111</v>
      </c>
      <c r="C33" s="166"/>
      <c r="D33" s="166"/>
      <c r="E33" s="166"/>
      <c r="F33" s="166"/>
      <c r="G33" s="166"/>
      <c r="H33" s="63">
        <f>SUM(H23:H32)</f>
        <v>174.99357840000002</v>
      </c>
      <c r="K33" s="142"/>
      <c r="L33" s="146"/>
      <c r="M33" s="143"/>
    </row>
    <row r="34" spans="2:13" s="16" customFormat="1">
      <c r="B34" s="125"/>
      <c r="C34" s="126" t="s">
        <v>114</v>
      </c>
      <c r="D34" s="125" t="s">
        <v>117</v>
      </c>
      <c r="E34" s="126" t="s">
        <v>2</v>
      </c>
      <c r="F34" s="131">
        <f>FatorK3</f>
        <v>0.08</v>
      </c>
      <c r="G34" s="130">
        <f>H33*F34</f>
        <v>13.999486272000002</v>
      </c>
      <c r="H34" s="128">
        <f>G34</f>
        <v>13.999486272000002</v>
      </c>
      <c r="K34" s="142">
        <f>$F$22</f>
        <v>500</v>
      </c>
      <c r="L34" s="144">
        <f>G34*K34</f>
        <v>6999.743136000001</v>
      </c>
      <c r="M34" s="143"/>
    </row>
    <row r="35" spans="2:13" s="16" customFormat="1">
      <c r="B35" s="125"/>
      <c r="C35" s="126" t="s">
        <v>115</v>
      </c>
      <c r="D35" s="125" t="s">
        <v>197</v>
      </c>
      <c r="E35" s="126" t="s">
        <v>2</v>
      </c>
      <c r="F35" s="127">
        <f>FatorK4</f>
        <v>0.14155251141552516</v>
      </c>
      <c r="G35" s="130">
        <f>F35*(H33+H34)</f>
        <v>26.752442944438371</v>
      </c>
      <c r="H35" s="128">
        <f>G35</f>
        <v>26.752442944438371</v>
      </c>
      <c r="K35" s="142">
        <f>$F$22</f>
        <v>500</v>
      </c>
      <c r="L35" s="144">
        <f>G35*K35</f>
        <v>13376.221472219186</v>
      </c>
      <c r="M35" s="143"/>
    </row>
    <row r="36" spans="2:13" s="16" customFormat="1">
      <c r="B36" s="165" t="s">
        <v>110</v>
      </c>
      <c r="C36" s="165"/>
      <c r="D36" s="165"/>
      <c r="E36" s="165"/>
      <c r="F36" s="165"/>
      <c r="G36" s="165"/>
      <c r="H36" s="47">
        <f>SUM(H33:H35)</f>
        <v>215.7455076164384</v>
      </c>
      <c r="K36" s="142"/>
      <c r="L36" s="141" t="s">
        <v>220</v>
      </c>
      <c r="M36" s="145">
        <f>SUM(L23:L36)</f>
        <v>107872.7538082192</v>
      </c>
    </row>
    <row r="37" spans="2:13" s="16" customFormat="1">
      <c r="B37" s="135"/>
      <c r="C37" s="135"/>
      <c r="D37" s="135"/>
      <c r="E37" s="135"/>
      <c r="F37" s="135"/>
      <c r="G37" s="135"/>
      <c r="H37" s="136"/>
      <c r="K37" s="142"/>
      <c r="L37" s="146"/>
      <c r="M37" s="145"/>
    </row>
    <row r="38" spans="2:13" s="16" customFormat="1" ht="30">
      <c r="B38" s="51">
        <v>3</v>
      </c>
      <c r="C38" s="51"/>
      <c r="D38" s="74" t="s">
        <v>242</v>
      </c>
      <c r="E38" s="51" t="s">
        <v>226</v>
      </c>
      <c r="F38" s="75">
        <f>'B1-Sintético'!$E$10</f>
        <v>200</v>
      </c>
      <c r="G38" s="79">
        <f>H48</f>
        <v>211.69277506849318</v>
      </c>
      <c r="H38" s="76">
        <f>F38*G38</f>
        <v>42338.555013698635</v>
      </c>
      <c r="K38" s="142"/>
      <c r="L38" s="141"/>
      <c r="M38" s="143"/>
    </row>
    <row r="39" spans="2:13" s="16" customFormat="1">
      <c r="B39" s="31"/>
      <c r="C39" s="41" t="s">
        <v>194</v>
      </c>
      <c r="D39" s="32" t="str">
        <f>VLOOKUP(C39,TAB_INSUMOS,2,FALSE)</f>
        <v>Engenheiro Pleno (Civil) Ref. 40937 Sinapi - mensalista</v>
      </c>
      <c r="E39" s="41" t="s">
        <v>108</v>
      </c>
      <c r="F39" s="121">
        <v>1</v>
      </c>
      <c r="G39" s="62">
        <f>VLOOKUP(C39,TAB_INSUMOS,6,FALSE)</f>
        <v>49.12</v>
      </c>
      <c r="H39" s="62">
        <f t="shared" ref="H39" si="15">F39*G39</f>
        <v>49.12</v>
      </c>
      <c r="K39" s="142">
        <f>$F$38*F39</f>
        <v>200</v>
      </c>
      <c r="L39" s="144">
        <f t="shared" ref="L39:L44" si="16">G39*K39</f>
        <v>9824</v>
      </c>
      <c r="M39" s="143"/>
    </row>
    <row r="40" spans="2:13" s="16" customFormat="1">
      <c r="B40" s="31"/>
      <c r="C40" s="41" t="s">
        <v>214</v>
      </c>
      <c r="D40" s="32" t="str">
        <f>VLOOKUP(C40,TAB_INSUMOS,2,FALSE)</f>
        <v>Auxiliar técnico de engenharia - Ref. 40931 - mensalista</v>
      </c>
      <c r="E40" s="41" t="s">
        <v>108</v>
      </c>
      <c r="F40" s="121">
        <v>2</v>
      </c>
      <c r="G40" s="62">
        <f>VLOOKUP(C40,TAB_INSUMOS,6,FALSE)</f>
        <v>11.47</v>
      </c>
      <c r="H40" s="62">
        <f t="shared" ref="H40:H41" si="17">F40*G40</f>
        <v>22.94</v>
      </c>
      <c r="K40" s="142">
        <f>$F$38*F40</f>
        <v>400</v>
      </c>
      <c r="L40" s="144">
        <f t="shared" si="16"/>
        <v>4588</v>
      </c>
      <c r="M40" s="143"/>
    </row>
    <row r="41" spans="2:13" s="16" customFormat="1">
      <c r="B41" s="31"/>
      <c r="C41" s="41" t="s">
        <v>215</v>
      </c>
      <c r="D41" s="32" t="str">
        <f>VLOOKUP(C41,TAB_INSUMOS,2,FALSE)</f>
        <v>Desenhista auxiliar - Ref. 40808 - mensalista</v>
      </c>
      <c r="E41" s="41" t="s">
        <v>108</v>
      </c>
      <c r="F41" s="121">
        <v>2</v>
      </c>
      <c r="G41" s="62">
        <f>VLOOKUP(C41,TAB_INSUMOS,6,FALSE)</f>
        <v>7.28</v>
      </c>
      <c r="H41" s="62">
        <f t="shared" si="17"/>
        <v>14.56</v>
      </c>
      <c r="K41" s="142">
        <f>$F$38*F41</f>
        <v>400</v>
      </c>
      <c r="L41" s="144">
        <f t="shared" si="16"/>
        <v>2912</v>
      </c>
      <c r="M41" s="143"/>
    </row>
    <row r="42" spans="2:13" s="16" customFormat="1">
      <c r="B42" s="125"/>
      <c r="C42" s="126" t="s">
        <v>112</v>
      </c>
      <c r="D42" s="132" t="s">
        <v>118</v>
      </c>
      <c r="E42" s="126" t="s">
        <v>2</v>
      </c>
      <c r="F42" s="127">
        <f>FatorK1</f>
        <v>0.73510000000000009</v>
      </c>
      <c r="G42" s="128">
        <f>SUM(H39:H41)*F42</f>
        <v>63.674362000000009</v>
      </c>
      <c r="H42" s="128">
        <f>1*G42</f>
        <v>63.674362000000009</v>
      </c>
      <c r="K42" s="142">
        <f>$F$38</f>
        <v>200</v>
      </c>
      <c r="L42" s="144">
        <f t="shared" si="16"/>
        <v>12734.872400000002</v>
      </c>
      <c r="M42" s="143"/>
    </row>
    <row r="43" spans="2:13" s="16" customFormat="1" ht="30">
      <c r="B43" s="125"/>
      <c r="C43" s="126" t="s">
        <v>113</v>
      </c>
      <c r="D43" s="129" t="s">
        <v>116</v>
      </c>
      <c r="E43" s="126" t="s">
        <v>2</v>
      </c>
      <c r="F43" s="127">
        <f>FatorK2</f>
        <v>9.9999999999999992E-2</v>
      </c>
      <c r="G43" s="130">
        <f>F43*SUM(H39:H41)</f>
        <v>8.661999999999999</v>
      </c>
      <c r="H43" s="128">
        <f>G43</f>
        <v>8.661999999999999</v>
      </c>
      <c r="K43" s="142">
        <f>$F$38</f>
        <v>200</v>
      </c>
      <c r="L43" s="144">
        <f t="shared" si="16"/>
        <v>1732.3999999999999</v>
      </c>
      <c r="M43" s="143"/>
    </row>
    <row r="44" spans="2:13" s="16" customFormat="1" ht="30">
      <c r="B44" s="31"/>
      <c r="C44" s="41" t="s">
        <v>127</v>
      </c>
      <c r="D44" s="32" t="s">
        <v>125</v>
      </c>
      <c r="E44" s="41" t="s">
        <v>108</v>
      </c>
      <c r="F44" s="33">
        <f>SUM(F39:F41)</f>
        <v>5</v>
      </c>
      <c r="G44" s="62">
        <f>'B4d-EC'!$E$11</f>
        <v>2.5499999999999998</v>
      </c>
      <c r="H44" s="62">
        <f>F44*G44</f>
        <v>12.75</v>
      </c>
      <c r="K44" s="142">
        <f>$F$38*F44</f>
        <v>1000</v>
      </c>
      <c r="L44" s="144">
        <f t="shared" si="16"/>
        <v>2550</v>
      </c>
      <c r="M44" s="143"/>
    </row>
    <row r="45" spans="2:13" s="16" customFormat="1">
      <c r="B45" s="166" t="s">
        <v>111</v>
      </c>
      <c r="C45" s="166"/>
      <c r="D45" s="166"/>
      <c r="E45" s="166"/>
      <c r="F45" s="166"/>
      <c r="G45" s="166"/>
      <c r="H45" s="63">
        <f>SUM(H39:H44)</f>
        <v>171.70636200000001</v>
      </c>
      <c r="K45" s="142"/>
      <c r="L45" s="141"/>
      <c r="M45" s="143"/>
    </row>
    <row r="46" spans="2:13" s="16" customFormat="1">
      <c r="B46" s="125"/>
      <c r="C46" s="126" t="s">
        <v>114</v>
      </c>
      <c r="D46" s="125" t="s">
        <v>117</v>
      </c>
      <c r="E46" s="126" t="s">
        <v>2</v>
      </c>
      <c r="F46" s="131">
        <f>FatorK3</f>
        <v>0.08</v>
      </c>
      <c r="G46" s="130">
        <f>H45*F46</f>
        <v>13.736508960000002</v>
      </c>
      <c r="H46" s="128">
        <f>G46</f>
        <v>13.736508960000002</v>
      </c>
      <c r="K46" s="142">
        <f>$F$38</f>
        <v>200</v>
      </c>
      <c r="L46" s="144">
        <f>G46*K46</f>
        <v>2747.3017920000002</v>
      </c>
      <c r="M46" s="143"/>
    </row>
    <row r="47" spans="2:13" s="16" customFormat="1">
      <c r="B47" s="125"/>
      <c r="C47" s="126" t="s">
        <v>115</v>
      </c>
      <c r="D47" s="125" t="s">
        <v>197</v>
      </c>
      <c r="E47" s="126" t="s">
        <v>2</v>
      </c>
      <c r="F47" s="127">
        <f>FatorK4</f>
        <v>0.14155251141552516</v>
      </c>
      <c r="G47" s="130">
        <f>F47*(H45+H46)</f>
        <v>26.249904108493162</v>
      </c>
      <c r="H47" s="128">
        <f>G47</f>
        <v>26.249904108493162</v>
      </c>
      <c r="K47" s="142">
        <f>$F$38</f>
        <v>200</v>
      </c>
      <c r="L47" s="144">
        <f>G47*K47</f>
        <v>5249.9808216986321</v>
      </c>
      <c r="M47" s="143"/>
    </row>
    <row r="48" spans="2:13" s="16" customFormat="1">
      <c r="B48" s="165" t="s">
        <v>110</v>
      </c>
      <c r="C48" s="165"/>
      <c r="D48" s="165"/>
      <c r="E48" s="165"/>
      <c r="F48" s="165"/>
      <c r="G48" s="165"/>
      <c r="H48" s="47">
        <f>SUM(H45:H47)</f>
        <v>211.69277506849318</v>
      </c>
      <c r="K48" s="142"/>
      <c r="L48" s="141" t="s">
        <v>220</v>
      </c>
      <c r="M48" s="145">
        <f>SUM(L39:L48)</f>
        <v>42338.555013698635</v>
      </c>
    </row>
    <row r="49" spans="2:13" s="16" customFormat="1">
      <c r="B49" s="135"/>
      <c r="C49" s="135"/>
      <c r="D49" s="135"/>
      <c r="E49" s="135"/>
      <c r="F49" s="135"/>
      <c r="G49" s="135"/>
      <c r="H49" s="136"/>
      <c r="K49" s="137"/>
      <c r="L49" s="133"/>
      <c r="M49" s="138"/>
    </row>
    <row r="50" spans="2:13" s="16" customFormat="1">
      <c r="B50" s="135"/>
      <c r="C50" s="135"/>
      <c r="D50" s="135"/>
      <c r="E50" s="135"/>
      <c r="F50" s="135"/>
      <c r="G50" s="135"/>
      <c r="H50" s="136"/>
      <c r="K50" s="137"/>
      <c r="L50" s="133"/>
      <c r="M50" s="138"/>
    </row>
    <row r="51" spans="2:13" s="16" customFormat="1">
      <c r="B51" s="135"/>
      <c r="C51" s="135"/>
      <c r="D51" s="135"/>
      <c r="E51" s="135"/>
      <c r="F51" s="135"/>
      <c r="G51" s="135"/>
      <c r="H51" s="136"/>
      <c r="K51" s="137"/>
      <c r="L51" s="133"/>
      <c r="M51" s="138">
        <f>SUM(M6:M48)</f>
        <v>181492.68639452057</v>
      </c>
    </row>
    <row r="52" spans="2:13" ht="18.75">
      <c r="C52" s="17" t="s">
        <v>206</v>
      </c>
      <c r="M52"/>
    </row>
    <row r="53" spans="2:13">
      <c r="C53" s="155" t="s">
        <v>232</v>
      </c>
    </row>
    <row r="54" spans="2:13" s="16" customFormat="1">
      <c r="B54" s="11"/>
      <c r="C54" s="16" t="s">
        <v>240</v>
      </c>
      <c r="I54"/>
      <c r="J54"/>
      <c r="M54" s="77"/>
    </row>
    <row r="55" spans="2:13" s="16" customFormat="1">
      <c r="B55" s="11"/>
      <c r="I55"/>
      <c r="J55"/>
      <c r="M55" s="77"/>
    </row>
    <row r="56" spans="2:13" s="16" customFormat="1" ht="30">
      <c r="B56" s="11"/>
      <c r="C56" s="51" t="s">
        <v>18</v>
      </c>
      <c r="D56" s="51" t="s">
        <v>4</v>
      </c>
      <c r="E56" s="123" t="s">
        <v>196</v>
      </c>
      <c r="F56" s="123" t="s">
        <v>187</v>
      </c>
      <c r="G56" s="51" t="s">
        <v>189</v>
      </c>
      <c r="H56" s="123" t="s">
        <v>188</v>
      </c>
      <c r="I56"/>
      <c r="J56"/>
      <c r="M56" s="77"/>
    </row>
    <row r="57" spans="2:13" ht="30">
      <c r="C57" s="31" t="s">
        <v>195</v>
      </c>
      <c r="D57" s="32" t="s">
        <v>199</v>
      </c>
      <c r="E57" s="158">
        <v>25782.71</v>
      </c>
      <c r="F57" s="159">
        <v>0.74109999999999998</v>
      </c>
      <c r="G57" s="124">
        <v>220</v>
      </c>
      <c r="H57" s="122">
        <f>ROUND(E57/(1+F57)/G57,2)</f>
        <v>67.31</v>
      </c>
    </row>
    <row r="58" spans="2:13" s="16" customFormat="1" ht="45">
      <c r="C58" s="31" t="s">
        <v>230</v>
      </c>
      <c r="D58" s="32" t="s">
        <v>231</v>
      </c>
      <c r="E58" s="158">
        <v>25782.71</v>
      </c>
      <c r="F58" s="159">
        <v>0.74109999999999998</v>
      </c>
      <c r="G58" s="124">
        <v>220</v>
      </c>
      <c r="H58" s="122">
        <f>ROUND(E58/(1+F58)/G58,2)</f>
        <v>67.31</v>
      </c>
      <c r="M58" s="77"/>
    </row>
    <row r="59" spans="2:13">
      <c r="C59" s="31" t="s">
        <v>190</v>
      </c>
      <c r="D59" s="32" t="s">
        <v>204</v>
      </c>
      <c r="E59" s="158">
        <v>22751.38</v>
      </c>
      <c r="F59" s="159">
        <v>0.74109999999999998</v>
      </c>
      <c r="G59" s="124">
        <v>220</v>
      </c>
      <c r="H59" s="122">
        <f t="shared" ref="H59:H67" si="18">ROUND(E59/(1+F59)/G59,2)</f>
        <v>59.4</v>
      </c>
    </row>
    <row r="60" spans="2:13">
      <c r="C60" s="31" t="s">
        <v>194</v>
      </c>
      <c r="D60" s="32" t="s">
        <v>200</v>
      </c>
      <c r="E60" s="158">
        <v>18813.939999999999</v>
      </c>
      <c r="F60" s="159">
        <v>0.74109999999999998</v>
      </c>
      <c r="G60" s="124">
        <v>220</v>
      </c>
      <c r="H60" s="122">
        <f t="shared" si="18"/>
        <v>49.12</v>
      </c>
    </row>
    <row r="61" spans="2:13">
      <c r="C61" s="31" t="s">
        <v>193</v>
      </c>
      <c r="D61" s="32" t="s">
        <v>201</v>
      </c>
      <c r="E61" s="158">
        <v>16436.330000000002</v>
      </c>
      <c r="F61" s="159">
        <v>0.74109999999999998</v>
      </c>
      <c r="G61" s="124">
        <v>220</v>
      </c>
      <c r="H61" s="122">
        <f t="shared" si="18"/>
        <v>42.91</v>
      </c>
    </row>
    <row r="62" spans="2:13">
      <c r="C62" s="31" t="s">
        <v>192</v>
      </c>
      <c r="D62" s="32" t="s">
        <v>202</v>
      </c>
      <c r="E62" s="158">
        <v>16436.330000000002</v>
      </c>
      <c r="F62" s="159">
        <v>0.74109999999999998</v>
      </c>
      <c r="G62" s="124">
        <v>220</v>
      </c>
      <c r="H62" s="122">
        <f t="shared" si="18"/>
        <v>42.91</v>
      </c>
    </row>
    <row r="63" spans="2:13" s="16" customFormat="1">
      <c r="C63" s="31" t="s">
        <v>208</v>
      </c>
      <c r="D63" s="32" t="s">
        <v>209</v>
      </c>
      <c r="E63" s="158">
        <v>18813.939999999999</v>
      </c>
      <c r="F63" s="159">
        <v>0.74109999999999998</v>
      </c>
      <c r="G63" s="124">
        <v>220</v>
      </c>
      <c r="H63" s="122">
        <f t="shared" ref="H63" si="19">ROUND(E63/(1+F63)/G63,2)</f>
        <v>49.12</v>
      </c>
      <c r="M63" s="77"/>
    </row>
    <row r="64" spans="2:13" s="16" customFormat="1">
      <c r="C64" s="31" t="s">
        <v>210</v>
      </c>
      <c r="D64" s="32" t="s">
        <v>211</v>
      </c>
      <c r="E64" s="158">
        <v>2846.97</v>
      </c>
      <c r="F64" s="159">
        <v>0.74109999999999998</v>
      </c>
      <c r="G64" s="124">
        <v>220</v>
      </c>
      <c r="H64" s="122">
        <f t="shared" ref="H64" si="20">ROUND(E64/(1+F64)/G64,2)</f>
        <v>7.43</v>
      </c>
      <c r="M64" s="77"/>
    </row>
    <row r="65" spans="2:13">
      <c r="C65" s="31" t="s">
        <v>191</v>
      </c>
      <c r="D65" s="32" t="s">
        <v>203</v>
      </c>
      <c r="E65" s="158">
        <v>2715.76</v>
      </c>
      <c r="F65" s="159">
        <v>0.74109999999999998</v>
      </c>
      <c r="G65" s="124">
        <v>220</v>
      </c>
      <c r="H65" s="122">
        <f t="shared" si="18"/>
        <v>7.09</v>
      </c>
    </row>
    <row r="66" spans="2:13" s="16" customFormat="1">
      <c r="C66" s="31" t="s">
        <v>217</v>
      </c>
      <c r="D66" s="32" t="s">
        <v>218</v>
      </c>
      <c r="E66" s="158">
        <v>5118.67</v>
      </c>
      <c r="F66" s="159">
        <v>0.74109999999999998</v>
      </c>
      <c r="G66" s="124">
        <v>220</v>
      </c>
      <c r="H66" s="122">
        <f t="shared" ref="H66" si="21">ROUND(E66/(1+F66)/G66,2)</f>
        <v>13.36</v>
      </c>
      <c r="M66" s="77"/>
    </row>
    <row r="67" spans="2:13">
      <c r="C67" s="31" t="s">
        <v>215</v>
      </c>
      <c r="D67" s="32" t="s">
        <v>205</v>
      </c>
      <c r="E67" s="158">
        <v>2786.64</v>
      </c>
      <c r="F67" s="159">
        <v>0.74109999999999998</v>
      </c>
      <c r="G67" s="124">
        <v>220</v>
      </c>
      <c r="H67" s="122">
        <f t="shared" si="18"/>
        <v>7.28</v>
      </c>
    </row>
    <row r="68" spans="2:13" s="16" customFormat="1">
      <c r="C68" s="31" t="s">
        <v>214</v>
      </c>
      <c r="D68" s="32" t="s">
        <v>213</v>
      </c>
      <c r="E68" s="158">
        <v>4394.72</v>
      </c>
      <c r="F68" s="159">
        <v>0.74109999999999998</v>
      </c>
      <c r="G68" s="124">
        <v>220</v>
      </c>
      <c r="H68" s="122">
        <f t="shared" ref="H68" si="22">ROUND(E68/(1+F68)/G68,2)</f>
        <v>11.47</v>
      </c>
      <c r="M68" s="77"/>
    </row>
    <row r="69" spans="2:13" s="16" customFormat="1">
      <c r="C69" s="31" t="s">
        <v>212</v>
      </c>
      <c r="D69" s="32" t="s">
        <v>216</v>
      </c>
      <c r="E69" s="158">
        <v>1162.95</v>
      </c>
      <c r="F69" s="159">
        <v>0.74109999999999998</v>
      </c>
      <c r="G69" s="124">
        <v>220</v>
      </c>
      <c r="H69" s="122">
        <f t="shared" ref="H69" si="23">ROUND(E69/(1+F69)/G69,2)</f>
        <v>3.04</v>
      </c>
      <c r="M69" s="77"/>
    </row>
    <row r="71" spans="2:13">
      <c r="B71" s="11" t="s">
        <v>35</v>
      </c>
    </row>
    <row r="72" spans="2:13">
      <c r="B72" s="28" t="s">
        <v>133</v>
      </c>
    </row>
    <row r="73" spans="2:13">
      <c r="B73" s="28" t="s">
        <v>134</v>
      </c>
    </row>
    <row r="74" spans="2:13">
      <c r="B74" s="28" t="s">
        <v>46</v>
      </c>
    </row>
    <row r="75" spans="2:13">
      <c r="B75" s="28" t="s">
        <v>135</v>
      </c>
    </row>
    <row r="76" spans="2:13">
      <c r="B76" s="16" t="s">
        <v>136</v>
      </c>
    </row>
  </sheetData>
  <autoFilter ref="B6:H48"/>
  <mergeCells count="6">
    <mergeCell ref="B36:G36"/>
    <mergeCell ref="B45:G45"/>
    <mergeCell ref="B48:G48"/>
    <mergeCell ref="B17:G17"/>
    <mergeCell ref="B20:G20"/>
    <mergeCell ref="B33:G33"/>
  </mergeCells>
  <pageMargins left="0.511811024" right="0.511811024" top="0.78740157499999996" bottom="0.78740157499999996" header="0.31496062000000002" footer="0.31496062000000002"/>
  <pageSetup paperSize="9" scale="62" fitToHeight="0" orientation="portrait" r:id="rId1"/>
  <rowBreaks count="1" manualBreakCount="1">
    <brk id="50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1"/>
  <sheetViews>
    <sheetView view="pageBreakPreview" topLeftCell="A28" zoomScaleNormal="100" zoomScaleSheetLayoutView="100" workbookViewId="0">
      <selection activeCell="E14" sqref="E14"/>
    </sheetView>
  </sheetViews>
  <sheetFormatPr defaultRowHeight="15"/>
  <cols>
    <col min="1" max="1" width="5.28515625" customWidth="1"/>
    <col min="2" max="2" width="9.140625" customWidth="1"/>
    <col min="3" max="3" width="76.140625" customWidth="1"/>
    <col min="4" max="4" width="16.42578125" bestFit="1" customWidth="1"/>
    <col min="5" max="5" width="18.7109375" customWidth="1"/>
    <col min="6" max="6" width="18.85546875" customWidth="1"/>
    <col min="7" max="7" width="7" customWidth="1"/>
    <col min="9" max="9" width="11.7109375" bestFit="1" customWidth="1"/>
  </cols>
  <sheetData>
    <row r="1" spans="2:10" s="16" customFormat="1"/>
    <row r="2" spans="2:10" s="16" customFormat="1"/>
    <row r="3" spans="2:10" s="16" customFormat="1"/>
    <row r="4" spans="2:10" s="16" customFormat="1"/>
    <row r="5" spans="2:10" s="16" customFormat="1"/>
    <row r="6" spans="2:10" s="16" customFormat="1"/>
    <row r="7" spans="2:10" s="16" customFormat="1" ht="18.75">
      <c r="B7" s="110" t="s">
        <v>146</v>
      </c>
      <c r="C7" s="88"/>
      <c r="D7" s="78" t="s">
        <v>145</v>
      </c>
      <c r="E7" s="78" t="s">
        <v>143</v>
      </c>
      <c r="F7" s="78" t="s">
        <v>144</v>
      </c>
    </row>
    <row r="8" spans="2:10" s="16" customFormat="1">
      <c r="B8" s="147" t="s">
        <v>219</v>
      </c>
      <c r="C8" s="95"/>
      <c r="D8" s="95"/>
      <c r="E8" s="109"/>
      <c r="F8" s="31"/>
    </row>
    <row r="9" spans="2:10" ht="30">
      <c r="B9" s="31" t="s">
        <v>195</v>
      </c>
      <c r="C9" s="156" t="str">
        <f>VLOOKUP(B9,'B2-Composições'!C:D,2,FALSE)</f>
        <v>Gerente de projetos (Engenheiro ou Arquiteto Sênior) - Ref. 40938 Sinapi - mensalista</v>
      </c>
      <c r="D9" s="113">
        <f>SUMIF('B2-Composições'!C:C,'B3-Resumo'!B9,'B2-Composições'!K:K)</f>
        <v>50</v>
      </c>
      <c r="E9" s="90">
        <f>VLOOKUP(B9,'B2-Composições'!C:G,5,FALSE)</f>
        <v>67.31</v>
      </c>
      <c r="F9" s="90">
        <f>D9*E9</f>
        <v>3365.5</v>
      </c>
      <c r="H9" s="16"/>
    </row>
    <row r="10" spans="2:10">
      <c r="B10" s="31" t="s">
        <v>190</v>
      </c>
      <c r="C10" s="156" t="str">
        <f>VLOOKUP(B10,'B2-Composições'!C:D,2,FALSE)</f>
        <v>Arquiteto Sênior - Ref. 40817 Sinapi -  mensalista</v>
      </c>
      <c r="D10" s="113">
        <f>SUMIF('B2-Composições'!C:C,'B3-Resumo'!B10,'B2-Composições'!K:K)</f>
        <v>200</v>
      </c>
      <c r="E10" s="90">
        <f>VLOOKUP(B10,'B2-Composições'!C:G,5,FALSE)</f>
        <v>59.4</v>
      </c>
      <c r="F10" s="90">
        <f t="shared" ref="F10:F12" si="0">D10*E10</f>
        <v>11880</v>
      </c>
      <c r="H10" s="16"/>
      <c r="I10" s="16"/>
      <c r="J10" s="16"/>
    </row>
    <row r="11" spans="2:10" s="16" customFormat="1">
      <c r="B11" s="31" t="s">
        <v>194</v>
      </c>
      <c r="C11" s="156" t="str">
        <f>VLOOKUP(B11,'B2-Composições'!C:D,2,FALSE)</f>
        <v>Engenheiro Pleno (Civil) Ref. 40937 Sinapi - mensalista</v>
      </c>
      <c r="D11" s="113">
        <f>SUMIF('B2-Composições'!C:C,'B3-Resumo'!B11,'B2-Composições'!K:K)</f>
        <v>480</v>
      </c>
      <c r="E11" s="90">
        <f>VLOOKUP(B11,'B2-Composições'!C:G,5,FALSE)</f>
        <v>49.12</v>
      </c>
      <c r="F11" s="90">
        <f t="shared" si="0"/>
        <v>23577.599999999999</v>
      </c>
    </row>
    <row r="12" spans="2:10" s="16" customFormat="1">
      <c r="B12" s="31" t="s">
        <v>193</v>
      </c>
      <c r="C12" s="156" t="str">
        <f>VLOOKUP(B12,'B2-Composições'!C:D,2,FALSE)</f>
        <v>Engenheiro Pleno (Elétrica) Ref. 40939 Sinapi - mensalista</v>
      </c>
      <c r="D12" s="113">
        <f>SUMIF('B2-Composições'!C:C,'B3-Resumo'!B12,'B2-Composições'!K:K)</f>
        <v>100</v>
      </c>
      <c r="E12" s="90">
        <f>VLOOKUP(B12,'B2-Composições'!C:G,5,FALSE)</f>
        <v>42.91</v>
      </c>
      <c r="F12" s="90">
        <f t="shared" si="0"/>
        <v>4291</v>
      </c>
    </row>
    <row r="13" spans="2:10" s="16" customFormat="1">
      <c r="B13" s="31" t="s">
        <v>192</v>
      </c>
      <c r="C13" s="156" t="str">
        <f>VLOOKUP(B13,'B2-Composições'!C:D,2,FALSE)</f>
        <v>Engenheiro Pleno (Mecânica) - Ref. 40939 Sinapi - mensalista</v>
      </c>
      <c r="D13" s="113">
        <f>SUMIF('B2-Composições'!C:C,'B3-Resumo'!B13,'B2-Composições'!K:K)</f>
        <v>50</v>
      </c>
      <c r="E13" s="90">
        <f>VLOOKUP(B13,'B2-Composições'!C:G,5,FALSE)</f>
        <v>42.91</v>
      </c>
      <c r="F13" s="90">
        <f t="shared" ref="F13:F20" si="1">D13*E13</f>
        <v>2145.5</v>
      </c>
    </row>
    <row r="14" spans="2:10" s="16" customFormat="1">
      <c r="B14" s="31" t="s">
        <v>208</v>
      </c>
      <c r="C14" s="156" t="str">
        <f>VLOOKUP(B14,'B2-Composições'!C:D,2,FALSE)</f>
        <v>Engenheiro Ambiental - Ref. 40937 Sinapi - mensalista</v>
      </c>
      <c r="D14" s="113">
        <f>SUMIF('B2-Composições'!C:C,'B3-Resumo'!B14,'B2-Composições'!K:K)</f>
        <v>30</v>
      </c>
      <c r="E14" s="90">
        <f>VLOOKUP(B14,'B2-Composições'!C:G,5,FALSE)</f>
        <v>49.12</v>
      </c>
      <c r="F14" s="90">
        <f t="shared" ref="F14:F18" si="2">D14*E14</f>
        <v>1473.6</v>
      </c>
    </row>
    <row r="15" spans="2:10" s="16" customFormat="1">
      <c r="B15" s="31" t="s">
        <v>210</v>
      </c>
      <c r="C15" s="156" t="str">
        <f>VLOOKUP(B15,'B2-Composições'!C:D,2,FALSE)</f>
        <v>Topógrafo - Ref 40820 Sinapi - mensalista</v>
      </c>
      <c r="D15" s="113">
        <f>SUMIF('B2-Composições'!C:C,'B3-Resumo'!B15,'B2-Composições'!K:K)</f>
        <v>200</v>
      </c>
      <c r="E15" s="90">
        <f>VLOOKUP(B15,'B2-Composições'!C:G,5,FALSE)</f>
        <v>7.43</v>
      </c>
      <c r="F15" s="90">
        <f t="shared" si="2"/>
        <v>1486</v>
      </c>
    </row>
    <row r="16" spans="2:10" s="16" customFormat="1">
      <c r="B16" s="31" t="s">
        <v>191</v>
      </c>
      <c r="C16" s="156" t="str">
        <f>VLOOKUP(B16,'B2-Composições'!C:D,2,FALSE)</f>
        <v>Desenhista/Cadista - Ref. 40807 - mensalista</v>
      </c>
      <c r="D16" s="113">
        <f>SUMIF('B2-Composições'!C:C,'B3-Resumo'!B16,'B2-Composições'!K:K)</f>
        <v>1000</v>
      </c>
      <c r="E16" s="90">
        <f>VLOOKUP(B16,'B2-Composições'!C:G,5,FALSE)</f>
        <v>7.09</v>
      </c>
      <c r="F16" s="90">
        <f t="shared" si="2"/>
        <v>7090</v>
      </c>
    </row>
    <row r="17" spans="2:6" s="16" customFormat="1">
      <c r="B17" s="31" t="s">
        <v>217</v>
      </c>
      <c r="C17" s="156" t="str">
        <f>VLOOKUP(B17,'B2-Composições'!C:D,2,FALSE)</f>
        <v>Técnico em sondagem - Ref 41092 - mensalista</v>
      </c>
      <c r="D17" s="113">
        <f>SUMIF('B2-Composições'!C:C,'B3-Resumo'!B17,'B2-Composições'!K:K)</f>
        <v>200</v>
      </c>
      <c r="E17" s="90">
        <f>VLOOKUP(B17,'B2-Composições'!C:G,5,FALSE)</f>
        <v>13.36</v>
      </c>
      <c r="F17" s="90">
        <f t="shared" si="2"/>
        <v>2672</v>
      </c>
    </row>
    <row r="18" spans="2:6" s="16" customFormat="1">
      <c r="B18" s="31" t="s">
        <v>215</v>
      </c>
      <c r="C18" s="156" t="str">
        <f>VLOOKUP(B18,'B2-Composições'!C:D,2,FALSE)</f>
        <v>Desenhista auxiliar - Ref. 40808 - mensalista</v>
      </c>
      <c r="D18" s="113">
        <f>SUMIF('B2-Composições'!C:C,'B3-Resumo'!B18,'B2-Composições'!K:K)</f>
        <v>900</v>
      </c>
      <c r="E18" s="90">
        <f>VLOOKUP(B18,'B2-Composições'!C:G,5,FALSE)</f>
        <v>7.28</v>
      </c>
      <c r="F18" s="90">
        <f t="shared" si="2"/>
        <v>6552</v>
      </c>
    </row>
    <row r="19" spans="2:6" s="16" customFormat="1">
      <c r="B19" s="31" t="s">
        <v>214</v>
      </c>
      <c r="C19" s="156" t="str">
        <f>VLOOKUP(B19,'B2-Composições'!C:D,2,FALSE)</f>
        <v>Auxiliar técnico de engenharia - Ref. 40931 - mensalista</v>
      </c>
      <c r="D19" s="113">
        <f>SUMIF('B2-Composições'!C:C,'B3-Resumo'!B19,'B2-Composições'!K:K)</f>
        <v>800</v>
      </c>
      <c r="E19" s="90">
        <f>VLOOKUP(B19,'B2-Composições'!C:G,5,FALSE)</f>
        <v>11.47</v>
      </c>
      <c r="F19" s="90">
        <f t="shared" si="1"/>
        <v>9176</v>
      </c>
    </row>
    <row r="20" spans="2:6" s="16" customFormat="1">
      <c r="B20" s="31" t="s">
        <v>212</v>
      </c>
      <c r="C20" s="156" t="str">
        <f>VLOOKUP(B20,'B2-Composições'!C:D,2,FALSE)</f>
        <v>Auxiliar de topógrafo - Ref. 41093 - mensalista</v>
      </c>
      <c r="D20" s="113">
        <f>SUMIF('B2-Composições'!C:C,'B3-Resumo'!B20,'B2-Composições'!K:K)</f>
        <v>400</v>
      </c>
      <c r="E20" s="90">
        <f>VLOOKUP(B20,'B2-Composições'!C:G,5,FALSE)</f>
        <v>3.04</v>
      </c>
      <c r="F20" s="90">
        <f t="shared" si="1"/>
        <v>1216</v>
      </c>
    </row>
    <row r="21" spans="2:6" ht="18.75">
      <c r="B21" s="167" t="s">
        <v>154</v>
      </c>
      <c r="C21" s="168"/>
      <c r="D21" s="168"/>
      <c r="E21" s="169"/>
      <c r="F21" s="94">
        <f>SUM(F9:F20)</f>
        <v>74925.2</v>
      </c>
    </row>
    <row r="22" spans="2:6" s="16" customFormat="1">
      <c r="B22" s="88" t="s">
        <v>152</v>
      </c>
      <c r="C22" s="95"/>
      <c r="D22" s="95"/>
      <c r="E22" s="109"/>
      <c r="F22" s="31"/>
    </row>
    <row r="23" spans="2:6" s="16" customFormat="1">
      <c r="B23" s="88" t="s">
        <v>153</v>
      </c>
      <c r="C23" s="88" t="s">
        <v>166</v>
      </c>
      <c r="D23" s="95"/>
      <c r="E23" s="96"/>
      <c r="F23" s="97"/>
    </row>
    <row r="24" spans="2:6" s="16" customFormat="1" ht="18.75">
      <c r="B24" s="167" t="s">
        <v>155</v>
      </c>
      <c r="C24" s="168"/>
      <c r="D24" s="168"/>
      <c r="E24" s="169" t="s">
        <v>155</v>
      </c>
      <c r="F24" s="94">
        <f>F21*'B4b-Det. K1'!$D$40</f>
        <v>55077.514520000004</v>
      </c>
    </row>
    <row r="25" spans="2:6" s="16" customFormat="1">
      <c r="D25" s="93"/>
      <c r="E25" s="64"/>
      <c r="F25" s="91"/>
    </row>
    <row r="26" spans="2:6" s="16" customFormat="1" ht="18.75">
      <c r="B26" s="88"/>
      <c r="C26" s="95"/>
      <c r="D26" s="104"/>
      <c r="E26" s="101" t="s">
        <v>168</v>
      </c>
      <c r="F26" s="102">
        <f>F24+F21</f>
        <v>130002.71452000001</v>
      </c>
    </row>
    <row r="28" spans="2:6" s="16" customFormat="1" ht="18.75">
      <c r="B28" s="108" t="s">
        <v>147</v>
      </c>
      <c r="C28" s="95"/>
      <c r="D28" s="78" t="s">
        <v>145</v>
      </c>
      <c r="E28" s="78" t="s">
        <v>143</v>
      </c>
      <c r="F28" s="78" t="s">
        <v>144</v>
      </c>
    </row>
    <row r="29" spans="2:6" s="16" customFormat="1">
      <c r="B29" s="31" t="s">
        <v>127</v>
      </c>
      <c r="C29" s="92" t="str">
        <f>VLOOKUP(B29,'B2-Composições'!C:D,2,FALSE)</f>
        <v>Encargos complementares (alimentação, transporte, exames, seguro, epi)</v>
      </c>
      <c r="D29" s="113">
        <f>SUMIF('B2-Composições'!C:C,'B3-Resumo'!B29,'B2-Composições'!K:K)</f>
        <v>3810</v>
      </c>
      <c r="E29" s="90">
        <f>VLOOKUP(B29,'B2-Composições'!C:G,5,FALSE)</f>
        <v>2.5499999999999998</v>
      </c>
      <c r="F29" s="90">
        <f>D29*E29</f>
        <v>9715.5</v>
      </c>
    </row>
    <row r="30" spans="2:6" ht="18.75">
      <c r="B30" s="88"/>
      <c r="C30" s="95"/>
      <c r="D30" s="95"/>
      <c r="E30" s="101" t="s">
        <v>148</v>
      </c>
      <c r="F30" s="94">
        <f>SUM(F29:F29)</f>
        <v>9715.5</v>
      </c>
    </row>
    <row r="31" spans="2:6" s="16" customFormat="1" ht="18.75">
      <c r="B31" s="98"/>
      <c r="C31" s="99"/>
      <c r="D31" s="99"/>
      <c r="E31" s="100" t="s">
        <v>157</v>
      </c>
      <c r="F31" s="94">
        <f>+F30+F26</f>
        <v>139718.21452000001</v>
      </c>
    </row>
    <row r="33" spans="2:9" ht="18.75">
      <c r="B33" s="108" t="s">
        <v>149</v>
      </c>
      <c r="C33" s="95"/>
      <c r="D33" s="95"/>
      <c r="E33" s="95"/>
      <c r="F33" s="109"/>
    </row>
    <row r="34" spans="2:9" s="16" customFormat="1" ht="18.75">
      <c r="B34" s="108"/>
      <c r="C34" s="95"/>
      <c r="D34" s="112">
        <f>FatorK2</f>
        <v>9.9999999999999992E-2</v>
      </c>
      <c r="E34" s="95" t="s">
        <v>158</v>
      </c>
      <c r="F34" s="109"/>
    </row>
    <row r="35" spans="2:9" ht="18.75">
      <c r="B35" s="98"/>
      <c r="C35" s="99"/>
      <c r="D35" s="99"/>
      <c r="E35" s="105" t="s">
        <v>151</v>
      </c>
      <c r="F35" s="111">
        <f>D34*$F$21</f>
        <v>7492.5199999999995</v>
      </c>
    </row>
    <row r="36" spans="2:9" s="16" customFormat="1" ht="18.75">
      <c r="B36" s="2"/>
      <c r="C36" s="2"/>
      <c r="D36" s="2"/>
      <c r="E36" s="103"/>
      <c r="F36" s="107"/>
    </row>
    <row r="37" spans="2:9" ht="18.75">
      <c r="B37" s="108" t="s">
        <v>150</v>
      </c>
      <c r="C37" s="95"/>
      <c r="D37" s="95"/>
      <c r="E37" s="95"/>
      <c r="F37" s="109"/>
    </row>
    <row r="38" spans="2:9" s="16" customFormat="1" ht="18.75">
      <c r="B38" s="108"/>
      <c r="C38" s="95"/>
      <c r="D38" s="104">
        <f>FatorK3</f>
        <v>0.08</v>
      </c>
      <c r="E38" s="95" t="s">
        <v>160</v>
      </c>
      <c r="F38" s="109"/>
    </row>
    <row r="39" spans="2:9" ht="18.75">
      <c r="B39" s="88"/>
      <c r="C39" s="95"/>
      <c r="D39" s="95"/>
      <c r="E39" s="106" t="s">
        <v>159</v>
      </c>
      <c r="F39" s="102">
        <f>D38*(F26+F30+F35)</f>
        <v>11776.8587616</v>
      </c>
    </row>
    <row r="40" spans="2:9" ht="18.75">
      <c r="B40" s="17" t="s">
        <v>156</v>
      </c>
    </row>
    <row r="41" spans="2:9">
      <c r="B41" s="31" t="s">
        <v>21</v>
      </c>
      <c r="C41" s="31" t="s">
        <v>161</v>
      </c>
      <c r="D41" s="57">
        <f>1.32/100</f>
        <v>1.32E-2</v>
      </c>
      <c r="E41" s="31" t="s">
        <v>167</v>
      </c>
      <c r="F41" s="89">
        <f ca="1">D41*$F$48</f>
        <v>2395.7034604039786</v>
      </c>
      <c r="I41" s="64"/>
    </row>
    <row r="42" spans="2:9">
      <c r="B42" s="31" t="s">
        <v>22</v>
      </c>
      <c r="C42" s="31" t="s">
        <v>162</v>
      </c>
      <c r="D42" s="57">
        <f>6.08/100</f>
        <v>6.08E-2</v>
      </c>
      <c r="E42" s="31" t="s">
        <v>167</v>
      </c>
      <c r="F42" s="89">
        <f ca="1">D42*$F$48</f>
        <v>11034.755332769841</v>
      </c>
      <c r="H42" s="16"/>
      <c r="I42" s="64"/>
    </row>
    <row r="43" spans="2:9">
      <c r="B43" s="31" t="s">
        <v>45</v>
      </c>
      <c r="C43" s="31" t="s">
        <v>163</v>
      </c>
      <c r="D43" s="57">
        <f>5/100</f>
        <v>0.05</v>
      </c>
      <c r="E43" s="31" t="s">
        <v>167</v>
      </c>
      <c r="F43" s="89">
        <f ca="1">D43*$F$48</f>
        <v>9074.6343197120405</v>
      </c>
      <c r="H43" s="16"/>
      <c r="I43" s="64"/>
    </row>
    <row r="45" spans="2:9" ht="18.75">
      <c r="B45" s="88"/>
      <c r="C45" s="95"/>
      <c r="D45" s="95"/>
      <c r="E45" s="101" t="s">
        <v>165</v>
      </c>
      <c r="F45" s="94">
        <f ca="1">SUM(F41:F43)</f>
        <v>22505.093112885857</v>
      </c>
      <c r="I45" s="93"/>
    </row>
    <row r="48" spans="2:9" ht="18.75">
      <c r="B48" s="88"/>
      <c r="C48" s="95"/>
      <c r="D48" s="95"/>
      <c r="E48" s="101" t="s">
        <v>164</v>
      </c>
      <c r="F48" s="94">
        <f ca="1">F26+F30+F35+F39+F45</f>
        <v>181492.68639448585</v>
      </c>
    </row>
    <row r="51" spans="6:6">
      <c r="F51" s="134"/>
    </row>
  </sheetData>
  <mergeCells count="2">
    <mergeCell ref="B21:E21"/>
    <mergeCell ref="B24:E24"/>
  </mergeCells>
  <pageMargins left="0.511811024" right="0.511811024" top="0.78740157499999996" bottom="0.78740157499999996" header="0.31496062000000002" footer="0.31496062000000002"/>
  <pageSetup paperSize="9" scale="6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tabColor theme="3" tint="0.79998168889431442"/>
    <pageSetUpPr fitToPage="1"/>
  </sheetPr>
  <dimension ref="B1:D29"/>
  <sheetViews>
    <sheetView view="pageBreakPreview" zoomScaleNormal="90" zoomScaleSheetLayoutView="100" zoomScalePageLayoutView="70" workbookViewId="0">
      <selection activeCell="E14" sqref="E14"/>
    </sheetView>
  </sheetViews>
  <sheetFormatPr defaultRowHeight="14.25"/>
  <cols>
    <col min="1" max="1" width="3.5703125" style="13" customWidth="1"/>
    <col min="2" max="2" width="49.28515625" style="13" bestFit="1" customWidth="1"/>
    <col min="3" max="3" width="19.42578125" style="13" customWidth="1"/>
    <col min="4" max="4" width="3.5703125" style="13" customWidth="1"/>
    <col min="5" max="16384" width="9.140625" style="13"/>
  </cols>
  <sheetData>
    <row r="1" spans="2:4" customFormat="1" ht="15"/>
    <row r="2" spans="2:4" customFormat="1" ht="15"/>
    <row r="3" spans="2:4" customFormat="1" ht="15"/>
    <row r="4" spans="2:4">
      <c r="B4" s="15"/>
    </row>
    <row r="5" spans="2:4" ht="15">
      <c r="B5" s="65" t="s">
        <v>1</v>
      </c>
      <c r="C5" s="66" t="s">
        <v>138</v>
      </c>
      <c r="D5" s="14"/>
    </row>
    <row r="6" spans="2:4" ht="15">
      <c r="B6" s="80"/>
      <c r="C6" s="81"/>
      <c r="D6" s="14"/>
    </row>
    <row r="7" spans="2:4" ht="15">
      <c r="B7" s="67" t="s">
        <v>119</v>
      </c>
      <c r="C7" s="68">
        <f>'B4b-Det. K1'!$D$40</f>
        <v>0.73510000000000009</v>
      </c>
      <c r="D7" s="14"/>
    </row>
    <row r="8" spans="2:4" ht="18">
      <c r="B8" s="69" t="s">
        <v>120</v>
      </c>
      <c r="C8" s="70">
        <f>SUM(C4:C7)</f>
        <v>0.73510000000000009</v>
      </c>
      <c r="D8" s="14"/>
    </row>
    <row r="9" spans="2:4" customFormat="1" ht="15">
      <c r="B9" s="31"/>
      <c r="C9" s="31"/>
    </row>
    <row r="10" spans="2:4" ht="15">
      <c r="B10" s="67" t="s">
        <v>180</v>
      </c>
      <c r="C10" s="68">
        <f>'B4c-Det. K2 e K3'!$B$15</f>
        <v>9.9999999999999992E-2</v>
      </c>
      <c r="D10" s="14"/>
    </row>
    <row r="11" spans="2:4" ht="18">
      <c r="B11" s="69" t="s">
        <v>121</v>
      </c>
      <c r="C11" s="70">
        <f>SUM(C10:C10)</f>
        <v>9.9999999999999992E-2</v>
      </c>
      <c r="D11" s="14"/>
    </row>
    <row r="12" spans="2:4" customFormat="1" ht="15">
      <c r="B12" s="31"/>
      <c r="C12" s="31"/>
    </row>
    <row r="13" spans="2:4" ht="29.25">
      <c r="B13" s="114" t="s">
        <v>183</v>
      </c>
      <c r="C13" s="68">
        <f>'B4c-Det. K2 e K3'!$B$20</f>
        <v>0.08</v>
      </c>
      <c r="D13" s="14"/>
    </row>
    <row r="14" spans="2:4" ht="18">
      <c r="B14" s="69" t="s">
        <v>122</v>
      </c>
      <c r="C14" s="70">
        <f>SUM(C13:C13)</f>
        <v>0.08</v>
      </c>
      <c r="D14" s="14"/>
    </row>
    <row r="15" spans="2:4" customFormat="1" ht="15">
      <c r="B15" s="31"/>
      <c r="C15" s="31"/>
    </row>
    <row r="16" spans="2:4" ht="15">
      <c r="B16" s="67" t="s">
        <v>106</v>
      </c>
      <c r="C16" s="68">
        <f>1.65%*0.8</f>
        <v>1.3200000000000002E-2</v>
      </c>
      <c r="D16" s="14"/>
    </row>
    <row r="17" spans="2:4" ht="15">
      <c r="B17" s="67" t="s">
        <v>107</v>
      </c>
      <c r="C17" s="68">
        <f>7.6%*0.8</f>
        <v>6.08E-2</v>
      </c>
      <c r="D17" s="14"/>
    </row>
    <row r="18" spans="2:4" ht="15">
      <c r="B18" s="67" t="s">
        <v>11</v>
      </c>
      <c r="C18" s="68">
        <v>0.05</v>
      </c>
      <c r="D18" s="14"/>
    </row>
    <row r="19" spans="2:4" ht="15">
      <c r="B19" s="71" t="s">
        <v>12</v>
      </c>
      <c r="C19" s="84">
        <f>1-SUM(C16:C18)</f>
        <v>0.876</v>
      </c>
      <c r="D19" s="14"/>
    </row>
    <row r="20" spans="2:4" ht="15">
      <c r="B20" s="82"/>
      <c r="C20" s="83"/>
      <c r="D20" s="14"/>
    </row>
    <row r="21" spans="2:4" ht="18">
      <c r="B21" s="69" t="s">
        <v>123</v>
      </c>
      <c r="C21" s="70">
        <f>1/C19-1</f>
        <v>0.14155251141552516</v>
      </c>
      <c r="D21" s="14"/>
    </row>
    <row r="23" spans="2:4" ht="15">
      <c r="B23" s="72" t="s">
        <v>124</v>
      </c>
      <c r="C23" s="72">
        <f>(1+C8)*(1+C11)*(1+C14)*(1+C21)</f>
        <v>2.3530808219178088</v>
      </c>
    </row>
    <row r="25" spans="2:4">
      <c r="B25" s="13" t="s">
        <v>139</v>
      </c>
    </row>
    <row r="26" spans="2:4">
      <c r="B26" s="85" t="s">
        <v>140</v>
      </c>
    </row>
    <row r="27" spans="2:4">
      <c r="B27" s="85" t="s">
        <v>141</v>
      </c>
    </row>
    <row r="29" spans="2:4">
      <c r="B29" s="85" t="s">
        <v>142</v>
      </c>
    </row>
  </sheetData>
  <printOptions horizontalCentered="1"/>
  <pageMargins left="0.98402777777777795" right="0.78749999999999998" top="0.98402777777777795" bottom="0.78749999999999998" header="0.51180555555555496" footer="0.51180555555555496"/>
  <pageSetup paperSize="9" firstPageNumber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tabColor theme="3" tint="0.79998168889431442"/>
    <pageSetUpPr fitToPage="1"/>
  </sheetPr>
  <dimension ref="B1:E42"/>
  <sheetViews>
    <sheetView view="pageBreakPreview" zoomScaleNormal="70" zoomScaleSheetLayoutView="100" workbookViewId="0">
      <selection activeCell="E14" sqref="E14"/>
    </sheetView>
  </sheetViews>
  <sheetFormatPr defaultRowHeight="15"/>
  <cols>
    <col min="1" max="1" width="4.7109375" style="2" customWidth="1"/>
    <col min="2" max="2" width="18.140625" style="50" customWidth="1"/>
    <col min="3" max="3" width="46.28515625" style="2" customWidth="1"/>
    <col min="4" max="4" width="14.85546875" style="2" customWidth="1"/>
    <col min="5" max="5" width="5.28515625" style="2" customWidth="1"/>
    <col min="6" max="6" width="14.85546875" style="2" customWidth="1"/>
    <col min="7" max="16384" width="9.140625" style="2"/>
  </cols>
  <sheetData>
    <row r="1" spans="2:5" s="8" customFormat="1"/>
    <row r="2" spans="2:5" s="8" customFormat="1" ht="23.25">
      <c r="B2" s="53" t="s">
        <v>233</v>
      </c>
    </row>
    <row r="3" spans="2:5" s="8" customFormat="1"/>
    <row r="4" spans="2:5" s="8" customFormat="1">
      <c r="B4" s="52" t="s">
        <v>224</v>
      </c>
    </row>
    <row r="6" spans="2:5">
      <c r="B6" s="170" t="s">
        <v>86</v>
      </c>
      <c r="C6" s="170"/>
      <c r="D6" s="170"/>
    </row>
    <row r="7" spans="2:5">
      <c r="B7" s="41" t="s">
        <v>20</v>
      </c>
      <c r="C7" s="31" t="s">
        <v>56</v>
      </c>
      <c r="D7" s="57">
        <v>0.2</v>
      </c>
      <c r="E7" s="55"/>
    </row>
    <row r="8" spans="2:5">
      <c r="B8" s="41" t="s">
        <v>44</v>
      </c>
      <c r="C8" s="31" t="s">
        <v>57</v>
      </c>
      <c r="D8" s="57">
        <v>1.4999999999999999E-2</v>
      </c>
      <c r="E8" s="55"/>
    </row>
    <row r="9" spans="2:5">
      <c r="B9" s="41" t="s">
        <v>49</v>
      </c>
      <c r="C9" s="31" t="s">
        <v>58</v>
      </c>
      <c r="D9" s="57">
        <v>0.01</v>
      </c>
      <c r="E9" s="55"/>
    </row>
    <row r="10" spans="2:5">
      <c r="B10" s="41" t="s">
        <v>17</v>
      </c>
      <c r="C10" s="34" t="s">
        <v>59</v>
      </c>
      <c r="D10" s="58">
        <v>2E-3</v>
      </c>
      <c r="E10" s="55"/>
    </row>
    <row r="11" spans="2:5">
      <c r="B11" s="41" t="s">
        <v>50</v>
      </c>
      <c r="C11" s="34" t="s">
        <v>60</v>
      </c>
      <c r="D11" s="58">
        <v>6.0000000000000001E-3</v>
      </c>
      <c r="E11" s="55"/>
    </row>
    <row r="12" spans="2:5">
      <c r="B12" s="41" t="s">
        <v>51</v>
      </c>
      <c r="C12" s="34" t="s">
        <v>61</v>
      </c>
      <c r="D12" s="58">
        <v>2.5000000000000001E-2</v>
      </c>
      <c r="E12" s="55"/>
    </row>
    <row r="13" spans="2:5">
      <c r="B13" s="41" t="s">
        <v>52</v>
      </c>
      <c r="C13" s="34" t="s">
        <v>62</v>
      </c>
      <c r="D13" s="58">
        <v>0.03</v>
      </c>
      <c r="E13" s="55"/>
    </row>
    <row r="14" spans="2:5">
      <c r="B14" s="41" t="s">
        <v>53</v>
      </c>
      <c r="C14" s="34" t="s">
        <v>63</v>
      </c>
      <c r="D14" s="58">
        <v>0.08</v>
      </c>
      <c r="E14" s="55"/>
    </row>
    <row r="15" spans="2:5">
      <c r="B15" s="41" t="s">
        <v>54</v>
      </c>
      <c r="C15" s="34" t="s">
        <v>207</v>
      </c>
      <c r="D15" s="58">
        <v>0</v>
      </c>
      <c r="E15" s="55"/>
    </row>
    <row r="16" spans="2:5">
      <c r="B16" s="51" t="s">
        <v>55</v>
      </c>
      <c r="C16" s="48" t="s">
        <v>64</v>
      </c>
      <c r="D16" s="59">
        <f>SUM(D7:D15)</f>
        <v>0.36800000000000005</v>
      </c>
      <c r="E16" s="56"/>
    </row>
    <row r="17" spans="2:4">
      <c r="B17" s="170" t="s">
        <v>97</v>
      </c>
      <c r="C17" s="170"/>
      <c r="D17" s="170"/>
    </row>
    <row r="18" spans="2:4">
      <c r="B18" s="36" t="s">
        <v>65</v>
      </c>
      <c r="C18" s="34" t="s">
        <v>75</v>
      </c>
      <c r="D18" s="31"/>
    </row>
    <row r="19" spans="2:4">
      <c r="B19" s="36" t="s">
        <v>66</v>
      </c>
      <c r="C19" s="34" t="s">
        <v>76</v>
      </c>
      <c r="D19" s="31"/>
    </row>
    <row r="20" spans="2:4">
      <c r="B20" s="36" t="s">
        <v>67</v>
      </c>
      <c r="C20" s="34" t="s">
        <v>77</v>
      </c>
      <c r="D20" s="57">
        <v>6.9999999999999993E-3</v>
      </c>
    </row>
    <row r="21" spans="2:4">
      <c r="B21" s="36" t="s">
        <v>68</v>
      </c>
      <c r="C21" s="34" t="s">
        <v>78</v>
      </c>
      <c r="D21" s="57">
        <v>8.3299999999999999E-2</v>
      </c>
    </row>
    <row r="22" spans="2:4">
      <c r="B22" s="36" t="s">
        <v>69</v>
      </c>
      <c r="C22" s="34" t="s">
        <v>79</v>
      </c>
      <c r="D22" s="57">
        <v>5.0000000000000001E-4</v>
      </c>
    </row>
    <row r="23" spans="2:4">
      <c r="B23" s="36" t="s">
        <v>70</v>
      </c>
      <c r="C23" s="34" t="s">
        <v>80</v>
      </c>
      <c r="D23" s="58">
        <v>5.6000000000000008E-3</v>
      </c>
    </row>
    <row r="24" spans="2:4">
      <c r="B24" s="36" t="s">
        <v>71</v>
      </c>
      <c r="C24" s="34" t="s">
        <v>81</v>
      </c>
      <c r="D24" s="57"/>
    </row>
    <row r="25" spans="2:4">
      <c r="B25" s="36" t="s">
        <v>72</v>
      </c>
      <c r="C25" s="34" t="s">
        <v>82</v>
      </c>
      <c r="D25" s="58">
        <v>8.0000000000000004E-4</v>
      </c>
    </row>
    <row r="26" spans="2:4">
      <c r="B26" s="36" t="s">
        <v>73</v>
      </c>
      <c r="C26" s="34" t="s">
        <v>83</v>
      </c>
      <c r="D26" s="58">
        <v>8.4600000000000009E-2</v>
      </c>
    </row>
    <row r="27" spans="2:4">
      <c r="B27" s="36" t="s">
        <v>74</v>
      </c>
      <c r="C27" s="34" t="s">
        <v>84</v>
      </c>
      <c r="D27" s="58">
        <v>2.0000000000000001E-4</v>
      </c>
    </row>
    <row r="28" spans="2:4">
      <c r="B28" s="51" t="s">
        <v>85</v>
      </c>
      <c r="C28" s="48" t="s">
        <v>64</v>
      </c>
      <c r="D28" s="59">
        <f>SUM(D18:D27)</f>
        <v>0.182</v>
      </c>
    </row>
    <row r="29" spans="2:4">
      <c r="B29" s="170" t="s">
        <v>98</v>
      </c>
      <c r="C29" s="170"/>
      <c r="D29" s="170"/>
    </row>
    <row r="30" spans="2:4">
      <c r="B30" s="36" t="s">
        <v>19</v>
      </c>
      <c r="C30" s="34" t="s">
        <v>91</v>
      </c>
      <c r="D30" s="58">
        <v>4.9200000000000001E-2</v>
      </c>
    </row>
    <row r="31" spans="2:4">
      <c r="B31" s="36" t="s">
        <v>87</v>
      </c>
      <c r="C31" s="34" t="s">
        <v>92</v>
      </c>
      <c r="D31" s="58">
        <v>1.1999999999999999E-3</v>
      </c>
    </row>
    <row r="32" spans="2:4">
      <c r="B32" s="36" t="s">
        <v>88</v>
      </c>
      <c r="C32" s="34" t="s">
        <v>93</v>
      </c>
      <c r="D32" s="58">
        <v>2.2099999999999998E-2</v>
      </c>
    </row>
    <row r="33" spans="2:4">
      <c r="B33" s="36" t="s">
        <v>89</v>
      </c>
      <c r="C33" s="34" t="s">
        <v>94</v>
      </c>
      <c r="D33" s="58">
        <v>3.5299999999999998E-2</v>
      </c>
    </row>
    <row r="34" spans="2:4">
      <c r="B34" s="36" t="s">
        <v>90</v>
      </c>
      <c r="C34" s="34" t="s">
        <v>95</v>
      </c>
      <c r="D34" s="58">
        <v>4.0999999999999995E-3</v>
      </c>
    </row>
    <row r="35" spans="2:4">
      <c r="B35" s="51" t="s">
        <v>96</v>
      </c>
      <c r="C35" s="48" t="s">
        <v>64</v>
      </c>
      <c r="D35" s="59">
        <f>SUM(D30:D34)</f>
        <v>0.1119</v>
      </c>
    </row>
    <row r="36" spans="2:4">
      <c r="B36" s="170" t="s">
        <v>99</v>
      </c>
      <c r="C36" s="170"/>
      <c r="D36" s="170"/>
    </row>
    <row r="37" spans="2:4">
      <c r="B37" s="36" t="s">
        <v>100</v>
      </c>
      <c r="C37" s="34" t="s">
        <v>103</v>
      </c>
      <c r="D37" s="58">
        <v>6.88E-2</v>
      </c>
    </row>
    <row r="38" spans="2:4" ht="45">
      <c r="B38" s="36" t="s">
        <v>101</v>
      </c>
      <c r="C38" s="49" t="s">
        <v>104</v>
      </c>
      <c r="D38" s="57">
        <v>4.4000000000000003E-3</v>
      </c>
    </row>
    <row r="39" spans="2:4">
      <c r="B39" s="51" t="s">
        <v>102</v>
      </c>
      <c r="C39" s="48" t="s">
        <v>64</v>
      </c>
      <c r="D39" s="59">
        <f>SUM(D37:D38)</f>
        <v>7.3200000000000001E-2</v>
      </c>
    </row>
    <row r="40" spans="2:4">
      <c r="B40" s="171" t="s">
        <v>105</v>
      </c>
      <c r="C40" s="171"/>
      <c r="D40" s="60">
        <f>D16+D28+D35+D39</f>
        <v>0.73510000000000009</v>
      </c>
    </row>
    <row r="42" spans="2:4">
      <c r="B42" s="54" t="s">
        <v>225</v>
      </c>
    </row>
  </sheetData>
  <mergeCells count="5">
    <mergeCell ref="B36:D36"/>
    <mergeCell ref="B40:C40"/>
    <mergeCell ref="B6:D6"/>
    <mergeCell ref="B29:D29"/>
    <mergeCell ref="B17:D17"/>
  </mergeCell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workbookViewId="0">
      <selection activeCell="E14" sqref="E14"/>
    </sheetView>
  </sheetViews>
  <sheetFormatPr defaultRowHeight="15"/>
  <cols>
    <col min="1" max="1" width="70.140625" style="115" bestFit="1" customWidth="1"/>
    <col min="2" max="2" width="8.28515625" style="115" bestFit="1" customWidth="1"/>
    <col min="3" max="16384" width="9.140625" style="115"/>
  </cols>
  <sheetData>
    <row r="1" spans="1:2" ht="23.25">
      <c r="A1" s="53" t="s">
        <v>234</v>
      </c>
    </row>
    <row r="3" spans="1:2">
      <c r="A3" s="172" t="s">
        <v>182</v>
      </c>
      <c r="B3" s="173"/>
    </row>
    <row r="4" spans="1:2">
      <c r="A4" s="116" t="s">
        <v>1</v>
      </c>
      <c r="B4" s="117" t="s">
        <v>169</v>
      </c>
    </row>
    <row r="5" spans="1:2">
      <c r="A5" s="118" t="s">
        <v>170</v>
      </c>
      <c r="B5" s="119">
        <v>0.01</v>
      </c>
    </row>
    <row r="6" spans="1:2">
      <c r="A6" s="118" t="s">
        <v>171</v>
      </c>
      <c r="B6" s="119">
        <v>0.01</v>
      </c>
    </row>
    <row r="7" spans="1:2">
      <c r="A7" s="118" t="s">
        <v>172</v>
      </c>
      <c r="B7" s="119">
        <v>5.0000000000000001E-3</v>
      </c>
    </row>
    <row r="8" spans="1:2">
      <c r="A8" s="118" t="s">
        <v>173</v>
      </c>
      <c r="B8" s="119">
        <v>5.0000000000000001E-3</v>
      </c>
    </row>
    <row r="9" spans="1:2">
      <c r="A9" s="118" t="s">
        <v>174</v>
      </c>
      <c r="B9" s="119">
        <v>0.02</v>
      </c>
    </row>
    <row r="10" spans="1:2">
      <c r="A10" s="118" t="s">
        <v>175</v>
      </c>
      <c r="B10" s="119">
        <v>0.01</v>
      </c>
    </row>
    <row r="11" spans="1:2">
      <c r="A11" s="118" t="s">
        <v>176</v>
      </c>
      <c r="B11" s="119">
        <v>0.01</v>
      </c>
    </row>
    <row r="12" spans="1:2">
      <c r="A12" s="118" t="s">
        <v>177</v>
      </c>
      <c r="B12" s="119">
        <v>0.01</v>
      </c>
    </row>
    <row r="13" spans="1:2">
      <c r="A13" s="118" t="s">
        <v>178</v>
      </c>
      <c r="B13" s="119">
        <v>0.01</v>
      </c>
    </row>
    <row r="14" spans="1:2">
      <c r="A14" s="118" t="s">
        <v>179</v>
      </c>
      <c r="B14" s="119">
        <v>0.01</v>
      </c>
    </row>
    <row r="15" spans="1:2">
      <c r="A15" s="117" t="s">
        <v>33</v>
      </c>
      <c r="B15" s="120">
        <f>SUM(B5:B14)</f>
        <v>9.9999999999999992E-2</v>
      </c>
    </row>
    <row r="17" spans="1:2">
      <c r="A17" s="174" t="s">
        <v>181</v>
      </c>
      <c r="B17" s="174"/>
    </row>
    <row r="18" spans="1:2">
      <c r="A18" s="117" t="s">
        <v>1</v>
      </c>
      <c r="B18" s="117" t="s">
        <v>169</v>
      </c>
    </row>
    <row r="19" spans="1:2">
      <c r="A19" s="118" t="s">
        <v>227</v>
      </c>
      <c r="B19" s="119">
        <v>0.08</v>
      </c>
    </row>
    <row r="20" spans="1:2">
      <c r="A20" s="117" t="s">
        <v>33</v>
      </c>
      <c r="B20" s="120">
        <f>SUM(B19:B19)</f>
        <v>0.08</v>
      </c>
    </row>
  </sheetData>
  <mergeCells count="2">
    <mergeCell ref="A3:B3"/>
    <mergeCell ref="A17:B17"/>
  </mergeCells>
  <pageMargins left="0.511811024" right="0.511811024" top="0.78740157499999996" bottom="0.78740157499999996" header="0.31496062000000002" footer="0.31496062000000002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E18"/>
  <sheetViews>
    <sheetView view="pageBreakPreview" zoomScaleNormal="85" zoomScaleSheetLayoutView="100" workbookViewId="0">
      <selection activeCell="E14" sqref="E14"/>
    </sheetView>
  </sheetViews>
  <sheetFormatPr defaultRowHeight="15"/>
  <cols>
    <col min="1" max="1" width="6.85546875" style="16" customWidth="1"/>
    <col min="2" max="2" width="47" style="16" customWidth="1"/>
    <col min="3" max="3" width="30.42578125" style="16" customWidth="1"/>
    <col min="4" max="4" width="19.42578125" style="16" customWidth="1"/>
    <col min="5" max="5" width="17" style="16" customWidth="1"/>
    <col min="6" max="16384" width="9.140625" style="16"/>
  </cols>
  <sheetData>
    <row r="1" spans="2:5" ht="18.75">
      <c r="B1" s="17"/>
    </row>
    <row r="2" spans="2:5" ht="18.75">
      <c r="B2" s="17"/>
    </row>
    <row r="3" spans="2:5" ht="18.75">
      <c r="B3" s="27" t="s">
        <v>241</v>
      </c>
    </row>
    <row r="4" spans="2:5" ht="18.75">
      <c r="B4" s="17"/>
    </row>
    <row r="5" spans="2:5" ht="16.5" thickBot="1">
      <c r="B5" s="35" t="s">
        <v>47</v>
      </c>
    </row>
    <row r="6" spans="2:5">
      <c r="B6" s="20" t="s">
        <v>26</v>
      </c>
      <c r="C6" s="21" t="s">
        <v>34</v>
      </c>
      <c r="D6" s="21" t="s">
        <v>31</v>
      </c>
      <c r="E6" s="22" t="s">
        <v>32</v>
      </c>
    </row>
    <row r="7" spans="2:5" ht="45" customHeight="1">
      <c r="B7" s="19" t="s">
        <v>27</v>
      </c>
      <c r="C7" s="18" t="s">
        <v>129</v>
      </c>
      <c r="D7" s="157">
        <v>352.73</v>
      </c>
      <c r="E7" s="25">
        <f>D7/220</f>
        <v>1.6033181818181819</v>
      </c>
    </row>
    <row r="8" spans="2:5" ht="45" customHeight="1">
      <c r="B8" s="19" t="s">
        <v>28</v>
      </c>
      <c r="C8" s="18" t="s">
        <v>130</v>
      </c>
      <c r="D8" s="157">
        <v>9.76</v>
      </c>
      <c r="E8" s="25">
        <f t="shared" ref="E8:E10" si="0">D8/220</f>
        <v>4.4363636363636362E-2</v>
      </c>
    </row>
    <row r="9" spans="2:5" ht="45" customHeight="1">
      <c r="B9" s="19" t="s">
        <v>29</v>
      </c>
      <c r="C9" s="18" t="s">
        <v>131</v>
      </c>
      <c r="D9" s="157">
        <v>63.58</v>
      </c>
      <c r="E9" s="25">
        <f t="shared" si="0"/>
        <v>0.28899999999999998</v>
      </c>
    </row>
    <row r="10" spans="2:5" ht="45" customHeight="1">
      <c r="B10" s="19" t="s">
        <v>30</v>
      </c>
      <c r="C10" s="18" t="s">
        <v>132</v>
      </c>
      <c r="D10" s="157">
        <v>134.56</v>
      </c>
      <c r="E10" s="25">
        <f t="shared" si="0"/>
        <v>0.61163636363636364</v>
      </c>
    </row>
    <row r="11" spans="2:5" ht="15.75" thickBot="1">
      <c r="B11" s="23"/>
      <c r="C11" s="24"/>
      <c r="D11" s="26" t="s">
        <v>33</v>
      </c>
      <c r="E11" s="73">
        <f>ROUND(SUM(E7:E10),2)</f>
        <v>2.5499999999999998</v>
      </c>
    </row>
    <row r="13" spans="2:5">
      <c r="B13" s="39" t="s">
        <v>43</v>
      </c>
    </row>
    <row r="14" spans="2:5">
      <c r="B14" s="28" t="s">
        <v>128</v>
      </c>
    </row>
    <row r="15" spans="2:5">
      <c r="B15" s="28" t="s">
        <v>36</v>
      </c>
    </row>
    <row r="16" spans="2:5">
      <c r="B16" s="16" t="s">
        <v>37</v>
      </c>
    </row>
    <row r="18" spans="2:2">
      <c r="B18" s="28"/>
    </row>
  </sheetData>
  <pageMargins left="0.511811024" right="0.511811024" top="0.78740157499999996" bottom="0.78740157499999996" header="0.31496062000000002" footer="0.31496062000000002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12</vt:i4>
      </vt:variant>
    </vt:vector>
  </HeadingPairs>
  <TitlesOfParts>
    <vt:vector size="20" baseType="lpstr">
      <vt:lpstr>CAPA</vt:lpstr>
      <vt:lpstr>B1-Sintético</vt:lpstr>
      <vt:lpstr>B2-Composições</vt:lpstr>
      <vt:lpstr>B3-Resumo</vt:lpstr>
      <vt:lpstr>B4a-Fator-K</vt:lpstr>
      <vt:lpstr>B4b-Det. K1</vt:lpstr>
      <vt:lpstr>B4c-Det. K2 e K3</vt:lpstr>
      <vt:lpstr>B4d-EC</vt:lpstr>
      <vt:lpstr>'B1-Sintético'!Area_de_impressao</vt:lpstr>
      <vt:lpstr>'B2-Composições'!Area_de_impressao</vt:lpstr>
      <vt:lpstr>'B3-Resumo'!Area_de_impressao</vt:lpstr>
      <vt:lpstr>'B4a-Fator-K'!Area_de_impressao</vt:lpstr>
      <vt:lpstr>'B4b-Det. K1'!Area_de_impressao</vt:lpstr>
      <vt:lpstr>'B4d-EC'!Area_de_impressao</vt:lpstr>
      <vt:lpstr>CAPA!Area_de_impressao</vt:lpstr>
      <vt:lpstr>FatorK1</vt:lpstr>
      <vt:lpstr>FatorK2</vt:lpstr>
      <vt:lpstr>FatorK3</vt:lpstr>
      <vt:lpstr>FatorK4</vt:lpstr>
      <vt:lpstr>TAB_INSUMOS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Reinaldo de Sa Moreira e Silva</dc:creator>
  <cp:lastModifiedBy>Reinaldo de Sa Moreira e Silva</cp:lastModifiedBy>
  <cp:lastPrinted>2019-08-23T19:20:48Z</cp:lastPrinted>
  <dcterms:created xsi:type="dcterms:W3CDTF">2015-10-01T18:13:15Z</dcterms:created>
  <dcterms:modified xsi:type="dcterms:W3CDTF">2019-08-23T19:28:58Z</dcterms:modified>
</cp:coreProperties>
</file>