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\PROJETOS\CONTRATAÇÃO PROJETOS 2020\ETP\"/>
    </mc:Choice>
  </mc:AlternateContent>
  <bookViews>
    <workbookView xWindow="0" yWindow="0" windowWidth="28800" windowHeight="11865"/>
  </bookViews>
  <sheets>
    <sheet name="TAB.REMUNERAÇÃO" sheetId="1" r:id="rId1"/>
    <sheet name="Customização" sheetId="22" r:id="rId2"/>
    <sheet name="top e geo" sheetId="24" r:id="rId3"/>
    <sheet name="obra nova" sheetId="23" r:id="rId4"/>
    <sheet name="orçamento" sheetId="25" r:id="rId5"/>
  </sheets>
  <externalReferences>
    <externalReference r:id="rId6"/>
  </externalReferences>
  <definedNames>
    <definedName name="_xlnm._FilterDatabase" localSheetId="0" hidden="1">TAB.REMUNERAÇÃO!$B$31:$L$117</definedName>
    <definedName name="a_imper">TAB.REMUNERAÇÃO!$G$69</definedName>
    <definedName name="a_reforma">TAB.REMUNERAÇÃO!$G$110</definedName>
    <definedName name="AAP">TAB.REMUNERAÇÃO!$F$24</definedName>
    <definedName name="AEQ">TAB.REMUNERAÇÃO!$F$25</definedName>
    <definedName name="AGR">TAB.REMUNERAÇÃO!$F$21</definedName>
    <definedName name="APD">TAB.REMUNERAÇÃO!$F$19</definedName>
    <definedName name="APR">TAB.REMUNERAÇÃO!$F$16</definedName>
    <definedName name="APT">TAB.REMUNERAÇÃO!$F$20</definedName>
    <definedName name="_xlnm.Print_Area" localSheetId="0">TAB.REMUNERAÇÃO!$A$1:$L$123</definedName>
    <definedName name="ATE">TAB.REMUNERAÇÃO!$F$15</definedName>
    <definedName name="ATP">TAB.REMUNERAÇÃO!$F$24</definedName>
    <definedName name="CUSTO_M2">TAB.REMUNERAÇÃO!$J$119</definedName>
    <definedName name="CUSTO_TOTAL">TAB.REMUNERAÇÃO!$I$117</definedName>
    <definedName name="HT_TOTAL">TAB.REMUNERAÇÃO!$J$117</definedName>
    <definedName name="P_AGR">TAB.REMUNERAÇÃO!$E$21</definedName>
    <definedName name="P_APD">TAB.REMUNERAÇÃO!$E$19</definedName>
    <definedName name="P_APT">TAB.REMUNERAÇÃO!$E$20</definedName>
    <definedName name="TOTAL_G1">TAB.REMUNERAÇÃO!$J$33</definedName>
    <definedName name="TOTAL_G2">TAB.REMUNERAÇÃO!$J$36</definedName>
    <definedName name="TOTAL_G3">TAB.REMUNERAÇÃO!$J$39</definedName>
    <definedName name="TOTAL_G4">TAB.REMUNERAÇÃO!$J$51</definedName>
    <definedName name="TOTAL_G5">TAB.REMUNERAÇÃO!$J$64</definedName>
  </definedNames>
  <calcPr calcId="162913" iterate="1"/>
</workbook>
</file>

<file path=xl/calcChain.xml><?xml version="1.0" encoding="utf-8"?>
<calcChain xmlns="http://schemas.openxmlformats.org/spreadsheetml/2006/main">
  <c r="N11" i="25" l="1"/>
  <c r="H4" i="25" l="1"/>
  <c r="I4" i="25" s="1"/>
  <c r="B7" i="25" s="1"/>
  <c r="H4" i="24"/>
  <c r="I4" i="24" s="1"/>
  <c r="B7" i="24" s="1"/>
  <c r="H4" i="23"/>
  <c r="I4" i="23" s="1"/>
  <c r="B7" i="23" s="1"/>
  <c r="I98" i="1"/>
  <c r="M16" i="1"/>
  <c r="D57" i="1" s="1"/>
  <c r="L98" i="1" l="1"/>
  <c r="D28" i="1" l="1"/>
  <c r="D115" i="1"/>
  <c r="D34" i="1" l="1"/>
  <c r="D55" i="1"/>
  <c r="D60" i="1"/>
  <c r="I60" i="1" s="1"/>
  <c r="D69" i="1"/>
  <c r="I69" i="1" s="1"/>
  <c r="D77" i="1"/>
  <c r="D83" i="1"/>
  <c r="D87" i="1"/>
  <c r="D93" i="1"/>
  <c r="D97" i="1"/>
  <c r="D104" i="1"/>
  <c r="D110" i="1"/>
  <c r="I110" i="1" s="1"/>
  <c r="D52" i="1"/>
  <c r="D61" i="1"/>
  <c r="I61" i="1" s="1"/>
  <c r="D78" i="1"/>
  <c r="D84" i="1"/>
  <c r="D90" i="1"/>
  <c r="D94" i="1"/>
  <c r="D101" i="1"/>
  <c r="D105" i="1"/>
  <c r="D53" i="1"/>
  <c r="D58" i="1"/>
  <c r="I58" i="1" s="1"/>
  <c r="D62" i="1"/>
  <c r="I62" i="1" s="1"/>
  <c r="D73" i="1"/>
  <c r="D81" i="1"/>
  <c r="D85" i="1"/>
  <c r="I85" i="1" s="1"/>
  <c r="D91" i="1"/>
  <c r="D95" i="1"/>
  <c r="D102" i="1"/>
  <c r="D106" i="1"/>
  <c r="D114" i="1"/>
  <c r="D37" i="1"/>
  <c r="D54" i="1"/>
  <c r="D59" i="1"/>
  <c r="I59" i="1" s="1"/>
  <c r="D66" i="1"/>
  <c r="D74" i="1"/>
  <c r="D82" i="1"/>
  <c r="D86" i="1"/>
  <c r="D92" i="1"/>
  <c r="D96" i="1"/>
  <c r="D103" i="1"/>
  <c r="D107" i="1"/>
  <c r="G34" i="1"/>
  <c r="G37" i="1"/>
  <c r="F24" i="1"/>
  <c r="I57" i="1" l="1"/>
  <c r="L62" i="1"/>
  <c r="L61" i="1"/>
  <c r="L60" i="1"/>
  <c r="L59" i="1"/>
  <c r="L58" i="1"/>
  <c r="L85" i="1"/>
  <c r="L57" i="1" l="1"/>
  <c r="L110" i="1"/>
  <c r="L69" i="1"/>
  <c r="I46" i="1" l="1"/>
  <c r="L46" i="1" s="1"/>
  <c r="I45" i="1"/>
  <c r="L45" i="1" s="1"/>
  <c r="I44" i="1"/>
  <c r="L44" i="1" s="1"/>
  <c r="I43" i="1"/>
  <c r="L43" i="1" s="1"/>
  <c r="I42" i="1"/>
  <c r="L42" i="1" s="1"/>
  <c r="I40" i="1" l="1"/>
  <c r="G66" i="1"/>
  <c r="G101" i="1"/>
  <c r="G102" i="1"/>
  <c r="I102" i="1" s="1"/>
  <c r="G103" i="1"/>
  <c r="G104" i="1"/>
  <c r="I104" i="1" s="1"/>
  <c r="G105" i="1"/>
  <c r="I105" i="1" s="1"/>
  <c r="G106" i="1"/>
  <c r="I106" i="1" s="1"/>
  <c r="G107" i="1"/>
  <c r="L40" i="1" l="1"/>
  <c r="L106" i="1"/>
  <c r="L102" i="1"/>
  <c r="L105" i="1"/>
  <c r="G72" i="1"/>
  <c r="I72" i="1" s="1"/>
  <c r="G73" i="1"/>
  <c r="G74" i="1"/>
  <c r="F25" i="1"/>
  <c r="L104" i="1" l="1"/>
  <c r="L72" i="1"/>
  <c r="G115" i="1"/>
  <c r="G114" i="1"/>
  <c r="G84" i="1"/>
  <c r="I84" i="1" s="1"/>
  <c r="I68" i="1"/>
  <c r="G53" i="1"/>
  <c r="G78" i="1"/>
  <c r="G91" i="1"/>
  <c r="I91" i="1" s="1"/>
  <c r="G95" i="1"/>
  <c r="G87" i="1"/>
  <c r="G82" i="1"/>
  <c r="I82" i="1" s="1"/>
  <c r="G55" i="1"/>
  <c r="G81" i="1"/>
  <c r="G93" i="1"/>
  <c r="G97" i="1"/>
  <c r="G92" i="1"/>
  <c r="G52" i="1"/>
  <c r="G54" i="1"/>
  <c r="G77" i="1"/>
  <c r="G83" i="1"/>
  <c r="I83" i="1" s="1"/>
  <c r="G90" i="1"/>
  <c r="G94" i="1"/>
  <c r="G96" i="1"/>
  <c r="G86" i="1"/>
  <c r="L68" i="1"/>
  <c r="L91" i="1" l="1"/>
  <c r="L82" i="1"/>
  <c r="L83" i="1"/>
  <c r="I109" i="1"/>
  <c r="L109" i="1" s="1"/>
  <c r="J39" i="1"/>
  <c r="L84" i="1" l="1"/>
  <c r="D11" i="1" l="1"/>
  <c r="D10" i="1"/>
  <c r="H98" i="1" l="1"/>
  <c r="J98" i="1" s="1"/>
  <c r="H95" i="1"/>
  <c r="I95" i="1" s="1"/>
  <c r="H73" i="1"/>
  <c r="I73" i="1" s="1"/>
  <c r="H105" i="1"/>
  <c r="J105" i="1" s="1"/>
  <c r="H84" i="1"/>
  <c r="J84" i="1" s="1"/>
  <c r="H57" i="1"/>
  <c r="J57" i="1" s="1"/>
  <c r="H104" i="1"/>
  <c r="J104" i="1" s="1"/>
  <c r="H83" i="1"/>
  <c r="J83" i="1" s="1"/>
  <c r="H55" i="1"/>
  <c r="I55" i="1" s="1"/>
  <c r="H92" i="1"/>
  <c r="I92" i="1" s="1"/>
  <c r="H66" i="1"/>
  <c r="I66" i="1" s="1"/>
  <c r="H91" i="1"/>
  <c r="J91" i="1" s="1"/>
  <c r="H62" i="1"/>
  <c r="J62" i="1" s="1"/>
  <c r="H101" i="1"/>
  <c r="I101" i="1" s="1"/>
  <c r="H78" i="1"/>
  <c r="I78" i="1" s="1"/>
  <c r="H52" i="1"/>
  <c r="I52" i="1" s="1"/>
  <c r="H97" i="1"/>
  <c r="I97" i="1" s="1"/>
  <c r="H77" i="1"/>
  <c r="I77" i="1" s="1"/>
  <c r="H107" i="1"/>
  <c r="I107" i="1" s="1"/>
  <c r="H86" i="1"/>
  <c r="I86" i="1" s="1"/>
  <c r="H59" i="1"/>
  <c r="J59" i="1" s="1"/>
  <c r="H106" i="1"/>
  <c r="J106" i="1" s="1"/>
  <c r="H85" i="1"/>
  <c r="J85" i="1" s="1"/>
  <c r="H58" i="1"/>
  <c r="J58" i="1" s="1"/>
  <c r="H94" i="1"/>
  <c r="I94" i="1" s="1"/>
  <c r="H72" i="1"/>
  <c r="J72" i="1" s="1"/>
  <c r="H54" i="1"/>
  <c r="I54" i="1" s="1"/>
  <c r="H93" i="1"/>
  <c r="I93" i="1" s="1"/>
  <c r="H69" i="1"/>
  <c r="J69" i="1" s="1"/>
  <c r="J68" i="1" s="1"/>
  <c r="H103" i="1"/>
  <c r="I103" i="1" s="1"/>
  <c r="H82" i="1"/>
  <c r="J82" i="1" s="1"/>
  <c r="H102" i="1"/>
  <c r="J102" i="1" s="1"/>
  <c r="H81" i="1"/>
  <c r="I81" i="1" s="1"/>
  <c r="H53" i="1"/>
  <c r="I53" i="1" s="1"/>
  <c r="H90" i="1"/>
  <c r="I90" i="1" s="1"/>
  <c r="H61" i="1"/>
  <c r="J61" i="1" s="1"/>
  <c r="H110" i="1"/>
  <c r="J110" i="1" s="1"/>
  <c r="J109" i="1" s="1"/>
  <c r="H87" i="1"/>
  <c r="I87" i="1" s="1"/>
  <c r="H60" i="1"/>
  <c r="J60" i="1" s="1"/>
  <c r="H96" i="1"/>
  <c r="I96" i="1" s="1"/>
  <c r="H74" i="1"/>
  <c r="I74" i="1" s="1"/>
  <c r="H115" i="1"/>
  <c r="I115" i="1" s="1"/>
  <c r="H114" i="1"/>
  <c r="I114" i="1" s="1"/>
  <c r="D9" i="1"/>
  <c r="J73" i="1" l="1"/>
  <c r="L73" i="1"/>
  <c r="I71" i="1"/>
  <c r="H46" i="1"/>
  <c r="H41" i="1"/>
  <c r="I41" i="1" s="1"/>
  <c r="H40" i="1"/>
  <c r="H42" i="1"/>
  <c r="H43" i="1"/>
  <c r="H47" i="1"/>
  <c r="I47" i="1" s="1"/>
  <c r="L47" i="1" s="1"/>
  <c r="H34" i="1"/>
  <c r="I34" i="1" s="1"/>
  <c r="H48" i="1"/>
  <c r="I48" i="1" s="1"/>
  <c r="L48" i="1" s="1"/>
  <c r="H37" i="1"/>
  <c r="I37" i="1" s="1"/>
  <c r="H45" i="1"/>
  <c r="H44" i="1"/>
  <c r="J52" i="1"/>
  <c r="I51" i="1"/>
  <c r="L52" i="1"/>
  <c r="J90" i="1"/>
  <c r="L90" i="1"/>
  <c r="I89" i="1"/>
  <c r="L89" i="1" s="1"/>
  <c r="J107" i="1"/>
  <c r="L107" i="1"/>
  <c r="J78" i="1"/>
  <c r="L78" i="1"/>
  <c r="J87" i="1"/>
  <c r="L87" i="1"/>
  <c r="J103" i="1"/>
  <c r="L103" i="1"/>
  <c r="J77" i="1"/>
  <c r="L77" i="1"/>
  <c r="I76" i="1"/>
  <c r="J101" i="1"/>
  <c r="I100" i="1"/>
  <c r="L101" i="1"/>
  <c r="J92" i="1"/>
  <c r="L92" i="1"/>
  <c r="J95" i="1"/>
  <c r="L95" i="1"/>
  <c r="J96" i="1"/>
  <c r="L96" i="1"/>
  <c r="J93" i="1"/>
  <c r="L93" i="1"/>
  <c r="J86" i="1"/>
  <c r="L86" i="1"/>
  <c r="J114" i="1"/>
  <c r="I113" i="1"/>
  <c r="L113" i="1" s="1"/>
  <c r="L114" i="1"/>
  <c r="J54" i="1"/>
  <c r="L54" i="1"/>
  <c r="J66" i="1"/>
  <c r="J65" i="1" s="1"/>
  <c r="I65" i="1"/>
  <c r="L66" i="1"/>
  <c r="L65" i="1" s="1"/>
  <c r="J115" i="1"/>
  <c r="L115" i="1"/>
  <c r="J53" i="1"/>
  <c r="L53" i="1"/>
  <c r="J74" i="1"/>
  <c r="J71" i="1" s="1"/>
  <c r="L74" i="1"/>
  <c r="J81" i="1"/>
  <c r="L81" i="1"/>
  <c r="I80" i="1"/>
  <c r="J94" i="1"/>
  <c r="L94" i="1"/>
  <c r="J97" i="1"/>
  <c r="L97" i="1"/>
  <c r="J55" i="1"/>
  <c r="L55" i="1"/>
  <c r="J80" i="1" l="1"/>
  <c r="I64" i="1"/>
  <c r="L71" i="1"/>
  <c r="L100" i="1"/>
  <c r="L76" i="1"/>
  <c r="J51" i="1"/>
  <c r="J37" i="1"/>
  <c r="J36" i="1" s="1"/>
  <c r="L37" i="1"/>
  <c r="L36" i="1" s="1"/>
  <c r="I36" i="1"/>
  <c r="J113" i="1"/>
  <c r="J76" i="1"/>
  <c r="J89" i="1"/>
  <c r="J34" i="1"/>
  <c r="J33" i="1" s="1"/>
  <c r="L34" i="1"/>
  <c r="L33" i="1" s="1"/>
  <c r="I33" i="1"/>
  <c r="L80" i="1"/>
  <c r="J100" i="1"/>
  <c r="L51" i="1"/>
  <c r="L41" i="1"/>
  <c r="L39" i="1" s="1"/>
  <c r="I39" i="1"/>
  <c r="I117" i="1" l="1"/>
  <c r="K102" i="1" s="1"/>
  <c r="L64" i="1"/>
  <c r="J64" i="1"/>
  <c r="J117" i="1" s="1"/>
  <c r="K42" i="1" l="1"/>
  <c r="K36" i="1"/>
  <c r="K37" i="1"/>
  <c r="K110" i="1"/>
  <c r="K86" i="1"/>
  <c r="K105" i="1"/>
  <c r="K74" i="1"/>
  <c r="K113" i="1"/>
  <c r="K85" i="1"/>
  <c r="J119" i="1"/>
  <c r="J122" i="1" s="1"/>
  <c r="K68" i="1"/>
  <c r="K59" i="1"/>
  <c r="K51" i="1"/>
  <c r="K95" i="1"/>
  <c r="K66" i="1"/>
  <c r="K62" i="1"/>
  <c r="K91" i="1"/>
  <c r="K103" i="1"/>
  <c r="K106" i="1"/>
  <c r="K92" i="1"/>
  <c r="K114" i="1"/>
  <c r="L117" i="1"/>
  <c r="K96" i="1"/>
  <c r="K109" i="1"/>
  <c r="K93" i="1"/>
  <c r="K33" i="1"/>
  <c r="K72" i="1"/>
  <c r="K84" i="1"/>
  <c r="K60" i="1"/>
  <c r="K100" i="1"/>
  <c r="K90" i="1"/>
  <c r="K77" i="1"/>
  <c r="K58" i="1"/>
  <c r="K46" i="1"/>
  <c r="K71" i="1"/>
  <c r="K94" i="1"/>
  <c r="K76" i="1"/>
  <c r="K69" i="1"/>
  <c r="K73" i="1"/>
  <c r="K115" i="1"/>
  <c r="K61" i="1"/>
  <c r="K65" i="1"/>
  <c r="K107" i="1"/>
  <c r="K83" i="1"/>
  <c r="K81" i="1"/>
  <c r="K64" i="1"/>
  <c r="K78" i="1"/>
  <c r="K117" i="1"/>
  <c r="K48" i="1"/>
  <c r="K57" i="1"/>
  <c r="K54" i="1"/>
  <c r="K45" i="1"/>
  <c r="K53" i="1"/>
  <c r="K98" i="1"/>
  <c r="K97" i="1"/>
  <c r="K89" i="1"/>
  <c r="K43" i="1"/>
  <c r="K44" i="1"/>
  <c r="K39" i="1"/>
  <c r="K55" i="1"/>
  <c r="K52" i="1"/>
  <c r="K41" i="1"/>
  <c r="K47" i="1"/>
  <c r="K40" i="1"/>
  <c r="K34" i="1"/>
  <c r="K104" i="1"/>
  <c r="K80" i="1"/>
  <c r="K101" i="1"/>
  <c r="K82" i="1"/>
  <c r="K87" i="1"/>
  <c r="N117" i="1"/>
</calcChain>
</file>

<file path=xl/sharedStrings.xml><?xml version="1.0" encoding="utf-8"?>
<sst xmlns="http://schemas.openxmlformats.org/spreadsheetml/2006/main" count="880" uniqueCount="244">
  <si>
    <t>% do CUB MÉDIO</t>
  </si>
  <si>
    <t>(sobre área equivalente)</t>
  </si>
  <si>
    <t>CUSTO MÉDIO</t>
  </si>
  <si>
    <t>CUB-TRT18 adotado</t>
  </si>
  <si>
    <t>Total</t>
  </si>
  <si>
    <t>AEQ</t>
  </si>
  <si>
    <t>PLA.02</t>
  </si>
  <si>
    <t>PLA.01</t>
  </si>
  <si>
    <t>APD+APT</t>
  </si>
  <si>
    <t>Projeto de GLP</t>
  </si>
  <si>
    <t>MEC.07</t>
  </si>
  <si>
    <t>Projeto de elevadores</t>
  </si>
  <si>
    <t>MEC.06</t>
  </si>
  <si>
    <t>Projeto de central de água gelada</t>
  </si>
  <si>
    <t>MEC.05</t>
  </si>
  <si>
    <t>Projeto de ventilação mecânica sem rede de dutos</t>
  </si>
  <si>
    <t>MEC.04</t>
  </si>
  <si>
    <t>Projeto de ventilação mecânica com rede de dutos</t>
  </si>
  <si>
    <t>MEC.03</t>
  </si>
  <si>
    <t>MEC.02</t>
  </si>
  <si>
    <t>MEC.01</t>
  </si>
  <si>
    <t>Projeto de automação de bombas de recalque e incêndio (quando existentes)</t>
  </si>
  <si>
    <t>Sistema de iluminação de emergência, central e alarme de incêndio</t>
  </si>
  <si>
    <t>Segurança patrimonial (câmeras ip, detectores de presença, cerca elétrica, concertina, alarme, controle de acesso)</t>
  </si>
  <si>
    <t>ELE.08</t>
  </si>
  <si>
    <t>Sistema de proteção contra descargas atmosféricas (SPDA)</t>
  </si>
  <si>
    <t>ELE.07</t>
  </si>
  <si>
    <t>ELE.06</t>
  </si>
  <si>
    <t>Projeto de tomadas elétricas (rede estabilizada - com nobreak)</t>
  </si>
  <si>
    <t>ELE.05</t>
  </si>
  <si>
    <t>ELE.04</t>
  </si>
  <si>
    <t>ELE.03</t>
  </si>
  <si>
    <t>ELE.02</t>
  </si>
  <si>
    <t>ELE.01</t>
  </si>
  <si>
    <t>AAP</t>
  </si>
  <si>
    <t>Projeto específico de impermeabilizações (áreas molhadas, reservatórios, terraços, calhas impermeabilizadas etc.)</t>
  </si>
  <si>
    <t>Projeto hidrossanitário - central de bombas (recalque e/ou incêndio)</t>
  </si>
  <si>
    <t>Projeto hidrossanitário - água fria, esgoto sanitário e pluvial</t>
  </si>
  <si>
    <t>ATE</t>
  </si>
  <si>
    <t>Projeto de terraplenagem e drenagem de terreno</t>
  </si>
  <si>
    <t>Projeto estrutural e fundações para cortinas e muros de arrimo</t>
  </si>
  <si>
    <t>AGR</t>
  </si>
  <si>
    <t>ARQ.PAI</t>
  </si>
  <si>
    <t>ARQ.LAY</t>
  </si>
  <si>
    <t>ARQ.MOB</t>
  </si>
  <si>
    <t>ARQ.CV</t>
  </si>
  <si>
    <t>ARQ.EX</t>
  </si>
  <si>
    <t>ARQ.PL</t>
  </si>
  <si>
    <t>ARQ.AP</t>
  </si>
  <si>
    <t>ARQ.EP</t>
  </si>
  <si>
    <t>AMB.01</t>
  </si>
  <si>
    <t>Sondagem SPT com número mínimo de furos determinado pela norma NBR 6484/01, inclui gastos diretos e indiretos, inclusive mobilização de equipamento, até 500km da capital.</t>
  </si>
  <si>
    <t>TOP.01</t>
  </si>
  <si>
    <t>%</t>
  </si>
  <si>
    <t>Total de horas correspondente</t>
  </si>
  <si>
    <t>Total da remuneração</t>
  </si>
  <si>
    <t>Hora técnica</t>
  </si>
  <si>
    <t>Área utilizada</t>
  </si>
  <si>
    <t>Índice</t>
  </si>
  <si>
    <t>Tipo de área utilizada</t>
  </si>
  <si>
    <t>Projeto/Atividade técnica</t>
  </si>
  <si>
    <t>Código</t>
  </si>
  <si>
    <t>caso a caso</t>
  </si>
  <si>
    <t>não se aplica</t>
  </si>
  <si>
    <t>A_REAL</t>
  </si>
  <si>
    <t>Área equivalente</t>
  </si>
  <si>
    <t>Área total construída de projeto (área de aprovação/construída)</t>
  </si>
  <si>
    <t>Área total de pavimentos tipo (repetidos)</t>
  </si>
  <si>
    <t>APT</t>
  </si>
  <si>
    <t>Área total de pavimentos diferenciados (térreo, terraço, mezanino etc.)</t>
  </si>
  <si>
    <t>APD</t>
  </si>
  <si>
    <t>APR</t>
  </si>
  <si>
    <t>Quantitativo</t>
  </si>
  <si>
    <t>Peso</t>
  </si>
  <si>
    <t>Descrição</t>
  </si>
  <si>
    <t>PLA</t>
  </si>
  <si>
    <t>ARQ</t>
  </si>
  <si>
    <t>AMB</t>
  </si>
  <si>
    <t>GEO</t>
  </si>
  <si>
    <t>TOP</t>
  </si>
  <si>
    <t>Hora Técnica</t>
  </si>
  <si>
    <t>Entrada</t>
  </si>
  <si>
    <t>TRIBUNAL REGIONAL DO TRABALHO DA 18ª REGIÃO</t>
  </si>
  <si>
    <t>Projeto de iluminação (com dimensionamento luminotécnico)</t>
  </si>
  <si>
    <t>soma ponderada</t>
  </si>
  <si>
    <t>Áreas legais (aprovação)</t>
  </si>
  <si>
    <t>Área construída (área de aprovação)</t>
  </si>
  <si>
    <t>Área total do terreno (constante do documento de propriedade)</t>
  </si>
  <si>
    <t>Áreas de entrada para customização dos custos</t>
  </si>
  <si>
    <t>Áreas calculadas para customização dos custos</t>
  </si>
  <si>
    <t>Área real de projeto específico (utilizada em serviços especiais)</t>
  </si>
  <si>
    <t>Sigla</t>
  </si>
  <si>
    <t>COM</t>
  </si>
  <si>
    <t>CER.01</t>
  </si>
  <si>
    <t>Cronograma físico financeiro de execução da obra, conforme Memorial descritivo</t>
  </si>
  <si>
    <t>EST.01</t>
  </si>
  <si>
    <t>EST.02</t>
  </si>
  <si>
    <t>EST.03</t>
  </si>
  <si>
    <t>HID.06</t>
  </si>
  <si>
    <t>HID.09</t>
  </si>
  <si>
    <t>Projeto de ar condicionado VRF, SPLITÃO OU SELF CONTAINED</t>
  </si>
  <si>
    <t>Projeto completo de ar condicionado com equipamentos mini split ou split até 5TR cada, inclusive rede de drenos</t>
  </si>
  <si>
    <t>ELE</t>
  </si>
  <si>
    <t>MEC</t>
  </si>
  <si>
    <t>GEO.01</t>
  </si>
  <si>
    <t>Fundações e estruturas</t>
  </si>
  <si>
    <t>HID</t>
  </si>
  <si>
    <t>Instalações hidráulicas</t>
  </si>
  <si>
    <t>Instalações elétricas</t>
  </si>
  <si>
    <t>TER.01</t>
  </si>
  <si>
    <t>Terraplenagem e drenagem</t>
  </si>
  <si>
    <t>Instalações mecânicas</t>
  </si>
  <si>
    <t>REF.01</t>
  </si>
  <si>
    <t>REF</t>
  </si>
  <si>
    <t>TER</t>
  </si>
  <si>
    <t>IMP</t>
  </si>
  <si>
    <t>Impermeabilização</t>
  </si>
  <si>
    <t>IMP.01</t>
  </si>
  <si>
    <t>INC</t>
  </si>
  <si>
    <t>Instalações contra incêndio</t>
  </si>
  <si>
    <t>INC.01</t>
  </si>
  <si>
    <t>INC.02</t>
  </si>
  <si>
    <t>INC.03</t>
  </si>
  <si>
    <t>INC.04</t>
  </si>
  <si>
    <t>INC.05</t>
  </si>
  <si>
    <t>INC.06</t>
  </si>
  <si>
    <t>Projeto de sistema com detectores de fumaça</t>
  </si>
  <si>
    <t>Outorga de uso de água</t>
  </si>
  <si>
    <t>Acompanhamento de Licenciamento Simplificado - LAS</t>
  </si>
  <si>
    <t>Acompanhamento de Licenciamento - LP / LI</t>
  </si>
  <si>
    <t>EIV - Estudo de impacto de vizinhança</t>
  </si>
  <si>
    <t>RAS - Relatório ambiental simplificado</t>
  </si>
  <si>
    <t>PGRCC - Plano de gerenciamento de resíduos da construção civil</t>
  </si>
  <si>
    <t>Autorização para supressão vegetal</t>
  </si>
  <si>
    <t>AMB.02</t>
  </si>
  <si>
    <t>AMB.03</t>
  </si>
  <si>
    <t>AMB.04</t>
  </si>
  <si>
    <t>AMB.05</t>
  </si>
  <si>
    <t>AMB.06</t>
  </si>
  <si>
    <t>AMB.07</t>
  </si>
  <si>
    <t>MCE - Memorial de caracterização do empreendimento</t>
  </si>
  <si>
    <t>AMB.08</t>
  </si>
  <si>
    <t>AMB.09</t>
  </si>
  <si>
    <t>PCA - Plano de controle ambiental - com analise solo</t>
  </si>
  <si>
    <t>n/a</t>
  </si>
  <si>
    <t>não utilizado</t>
  </si>
  <si>
    <t>Projeto (avulso) de comunicação visual</t>
  </si>
  <si>
    <t>Projeto (avulso) de mobiliário sob medida</t>
  </si>
  <si>
    <t>Projeto (avulso) de layout sem detalhamentos</t>
  </si>
  <si>
    <t>Projeto (avulso) de paisagismo</t>
  </si>
  <si>
    <t>Projeto legal de arquitetura, inclusive visitas, reuniões, protoclos e acompanhamento de processo de aprovação do projeto em órgãos externos, em tecnologia BIM</t>
  </si>
  <si>
    <t>Anteprojeto de arquitetura inclusive visitas técnicas e realização de reuniões com Fiscalizaçao</t>
  </si>
  <si>
    <t>Estudo preliminar de arquitetura, inclusive visitas técnicas e realização de reuniões com Fiscalizaçao</t>
  </si>
  <si>
    <t>Projeto com Extintores e Hidrantes</t>
  </si>
  <si>
    <t>Projeto com Extintores, Hidrantes e  Sprinklers (Chuveiros Automáticos)</t>
  </si>
  <si>
    <t>Projeto apenas com Extintores</t>
  </si>
  <si>
    <t>Projeto de sistema de ventilação mecânica de subsolos ou exaustão de caixa de escadas de incêndio</t>
  </si>
  <si>
    <t>INC.07</t>
  </si>
  <si>
    <t>Projeto estrutural e fundações de concreto armado</t>
  </si>
  <si>
    <t>Projeto de gerador estacionário (com QTA)</t>
  </si>
  <si>
    <t>Projeto de tomadas elétricas (rede comum, inclusive A/C)</t>
  </si>
  <si>
    <t>ARQ.AC</t>
  </si>
  <si>
    <t>Projeto (avulso) de acessibilidade (NBR 9050)</t>
  </si>
  <si>
    <t>Projeto de entrada de energia / subestação (trafo ao tempo ou abrigado), com liberação de carga e aprovação do processo na concessionária a partir de 46kVA</t>
  </si>
  <si>
    <t>Projeto de cabeamento estruturado (CAT-6)</t>
  </si>
  <si>
    <t>Orçamento completo de obra ou reforma, empregando sistema SINAPI, conforme orientações do Memorial Descritivo, contendo relatório de todas as composições analíticas e pesquisas de preço junto a no mínimo 3 fornecedores dos itens inexistentes no SINAPI</t>
  </si>
  <si>
    <t>Levantamento topográfico planialtimétrico com elaboração de curvas de nivel de metro em metro (por área do terreno)</t>
  </si>
  <si>
    <t>Projeto executivo completo de arquitetura, em tecnologia BIM, incluindo acessibilidade, comunicação visual, incêndio, mobiliário, layout e paisagismo</t>
  </si>
  <si>
    <t>Área do levantamento (terreno)</t>
  </si>
  <si>
    <t>Área de projeção das edificações</t>
  </si>
  <si>
    <t>Elaboração de plano de reforma (por área real da edificação)</t>
  </si>
  <si>
    <t>Projeto de estruturas em aço ou madeira (coberturas, marquises e estacionamentos)</t>
  </si>
  <si>
    <t>SIM</t>
  </si>
  <si>
    <t>NÃO</t>
  </si>
  <si>
    <t>Área total externa (paisagismo, pavimentação externa, estacionamentos e similares)</t>
  </si>
  <si>
    <t>Peso APD =</t>
  </si>
  <si>
    <t>Peso APT =</t>
  </si>
  <si>
    <t>Peso AGR =</t>
  </si>
  <si>
    <t>ARQ.AB</t>
  </si>
  <si>
    <t>Execução de levantamentos e modelagem de edificação existente em BIM</t>
  </si>
  <si>
    <t>EST</t>
  </si>
  <si>
    <t>Incluir no escopo?</t>
  </si>
  <si>
    <t>R$/m2</t>
  </si>
  <si>
    <t>APENAS ORÇAMENTO</t>
  </si>
  <si>
    <t>OBRA CONVENCIONAL</t>
  </si>
  <si>
    <t>APENAS CERT. PROJETOS</t>
  </si>
  <si>
    <t>REFORMA + ORÇAMENTO</t>
  </si>
  <si>
    <t>IMPERM + ORÇAMENTO</t>
  </si>
  <si>
    <t>C.1</t>
  </si>
  <si>
    <t>C.2</t>
  </si>
  <si>
    <t>C.3</t>
  </si>
  <si>
    <t>C.4</t>
  </si>
  <si>
    <t>C.5</t>
  </si>
  <si>
    <t>CUSTOMIZAÇÃO (escolher na lista)</t>
  </si>
  <si>
    <t>(utilizar para adequar escopo a cada caso)</t>
  </si>
  <si>
    <t>C.6</t>
  </si>
  <si>
    <t>C.7</t>
  </si>
  <si>
    <t>C.8</t>
  </si>
  <si>
    <t>C.9</t>
  </si>
  <si>
    <t>APENAS LAYOUT</t>
  </si>
  <si>
    <t>(personalização)</t>
  </si>
  <si>
    <t>&lt;--- NÃO REMOVER</t>
  </si>
  <si>
    <t>TABELA DE CUSTOMIZAÇÕES</t>
  </si>
  <si>
    <t>não editar caso não saiba o que está fazendo</t>
  </si>
  <si>
    <t>LEGENDA</t>
  </si>
  <si>
    <t>CÉLULAS EDITÁVEIS (AS DEMAIS CONTÉM LÓGICA/FÓRMULAS)</t>
  </si>
  <si>
    <t>ITEM 8 - Planejamento da obra</t>
  </si>
  <si>
    <t>ITEM</t>
  </si>
  <si>
    <t>Projetos de arquitetura</t>
  </si>
  <si>
    <t>Projetos complementares</t>
  </si>
  <si>
    <t>Estudos para reformas</t>
  </si>
  <si>
    <t xml:space="preserve">ANEXO A - Tabela de cálculo da remuneração de estudos e projetos de engenharia </t>
  </si>
  <si>
    <t>Serviços avulsos (apenas quando não considerar o projeto completo)</t>
  </si>
  <si>
    <t>ITEM 1 - TOPOGRAFIA, GEOTECNIA E SERV. AMBIENTAIS</t>
  </si>
  <si>
    <t>ITEM 2 - PROJETOS ENGENHARIA E ARQUITETURA</t>
  </si>
  <si>
    <t>ITEM 3 - PLANEJAMENTO (ORÇAMENTO E CRONOGRAMA)</t>
  </si>
  <si>
    <t>ITEM1</t>
  </si>
  <si>
    <t>ITEM3</t>
  </si>
  <si>
    <t>ITEM 1 - Topografia, sondagens e estudos ambientais</t>
  </si>
  <si>
    <t>Topografia</t>
  </si>
  <si>
    <t>Geotecnia</t>
  </si>
  <si>
    <t>Estudos ambientais</t>
  </si>
  <si>
    <t>ITEM 2 - Projetos de arquitetura e engenharia (serviços, obras e reformas)</t>
  </si>
  <si>
    <t>ELE.09</t>
  </si>
  <si>
    <t>Projeto avulso de engenharia elétrica, média complexidade (quadros, paineis , estudos não enquadrados nos itens anteriores)</t>
  </si>
  <si>
    <t>Área efetiva</t>
  </si>
  <si>
    <t>APD+APT+AGR</t>
  </si>
  <si>
    <t>GRÁFICO R$/M2 VS HT</t>
  </si>
  <si>
    <t>ÍNDICE UTILIZADO</t>
  </si>
  <si>
    <t>CUSTO HORÁRIO</t>
  </si>
  <si>
    <t>ÁREA</t>
  </si>
  <si>
    <t>CUSTO TOTAL</t>
  </si>
  <si>
    <t>CUSTO POR M2</t>
  </si>
  <si>
    <t>observação: QUANDO CONTRATADOS ITENS AVULSOS OS ÍNDICES UTILIZADOS SERÃO APENAS DOS SERVIÇOS SOLICITADOS E NÃO O ÍNDICE CHEIO</t>
  </si>
  <si>
    <t xml:space="preserve">APRESENTADO NA SIMULAÇÃO, QUE FOI REALIZADA APENAS PARA SUBSIDIAR O LICITANTE A TOMADA DE DECISÃO QUANTO A SUA PROPOSTA DE </t>
  </si>
  <si>
    <t>HORA TÉCNICA</t>
  </si>
  <si>
    <t>ESSA PLANILHA SERÁ UTILIZADA PARA PRECIFICAR OS SERVIÇOS CONTRATADOS. OBSERVE QUE OS VALORES POR M2 VARIAM (DECRESCEM) CONFORME O PROJETO AUMENTA</t>
  </si>
  <si>
    <t>ANEXO A - PAGINA 2 - SIMULAÇÕES R$/M2 vs ÁREA PARA DIFERENTES VALORES DE HORA TÉCNICA</t>
  </si>
  <si>
    <t>ANEXO A - PAGINA 3 - SIMULAÇÕES R$/M2 vs ÁREA PARA DIFERENTES VALORES DE HORA TÉCNICA</t>
  </si>
  <si>
    <t>ANEXO A - PAGINA 4 - SIMULAÇÕES R$/M2 vs ÁREA PARA DIFERENTES VALORES DE HORA TÉCNICA</t>
  </si>
  <si>
    <t xml:space="preserve">NOTE QUE VALORES ABAIXO DE 100 REAIS TORNAM O OBJETO DE DIFICIL EXECUÇÃO, COM CUSTO POR M2 ABAIXO DE 40 REAIS </t>
  </si>
  <si>
    <t>PARA ELABORAÇÃO COMPLETA DE PROJETOS DE ARQUITETURA E ENGENHARIA (TODAS AS DISCIPLINAS)</t>
  </si>
  <si>
    <t>PREZADO LICITANTE,</t>
  </si>
  <si>
    <t>AS SIMULAÇÕES (GRÁFICOS) DAS PAGINAS SEGUINTES DEMONSTRAM ESTE EFEITO. OS GRÁFICOS FORAM FEITOS PARA SUBSIDIAR A SUA TOMADA DE DECISÃO QUANTO AO VALOR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</si>
</sst>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#,##0.00\ &quot;m²&quot;"/>
    <numFmt numFmtId="166" formatCode="#,##0.00&quot; &quot;;&quot;-&quot;#,##0.00&quot; &quot;;&quot; -&quot;#&quot; &quot;;@&quot; &quot;"/>
    <numFmt numFmtId="167" formatCode="&quot; R$ &quot;#,##0.00&quot; &quot;;&quot; R$ (&quot;#,##0.00&quot;)&quot;;&quot; R$ -&quot;#&quot; &quot;;@&quot; &quot;"/>
    <numFmt numFmtId="168" formatCode="[$-416]General"/>
    <numFmt numFmtId="169" formatCode="&quot; R$ &quot;#,##0.00\ ;&quot;-R$ &quot;#,##0.00\ ;&quot; R$ -&quot;#\ ;@\ "/>
    <numFmt numFmtId="170" formatCode="&quot; R$ &quot;#,##0.00\ ;&quot; R$ (&quot;#,##0.00\);&quot; R$ -&quot;#\ ;@\ "/>
    <numFmt numFmtId="171" formatCode="[$R$-416]&quot; &quot;#,##0.00;[Red]&quot;-&quot;[$R$-416]&quot; &quot;#,##0.00"/>
    <numFmt numFmtId="172" formatCode="#,##0.00\ ;&quot; (&quot;#,##0.00\);&quot; -&quot;#\ ;@\ "/>
    <numFmt numFmtId="173" formatCode="#,##0.00\ ;\-#,##0.00\ ;&quot; -&quot;#\ ;@\ "/>
    <numFmt numFmtId="174" formatCode="#,##0.00&quot; &quot;;&quot; (&quot;#,##0.00&quot;)&quot;;&quot; -&quot;#&quot; &quot;;@&quot; &quot;"/>
    <numFmt numFmtId="175" formatCode="_(* #,##0.00_);_(* \(#,##0.00\);_(* \-??_);_(@_)"/>
    <numFmt numFmtId="176" formatCode="0.0000\ &quot;HT&quot;"/>
    <numFmt numFmtId="177" formatCode="_-&quot;R$&quot;\ * #,##0.0000_-;\-&quot;R$&quot;\ * #,##0.0000_-;_-&quot;R$&quot;\ * &quot;-&quot;????_-;_-@_-"/>
  </numFmts>
  <fonts count="3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1"/>
    </font>
    <font>
      <u/>
      <sz val="11"/>
      <color rgb="FF0000FF"/>
      <name val="Calibri1"/>
    </font>
    <font>
      <b/>
      <i/>
      <sz val="16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name val="SimSun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i/>
      <u/>
      <sz val="11"/>
      <color rgb="FF000000"/>
      <name val="Calibri"/>
      <family val="2"/>
    </font>
    <font>
      <sz val="11"/>
      <color rgb="FF000000"/>
      <name val="Arial2"/>
    </font>
    <font>
      <b/>
      <sz val="11"/>
      <color rgb="FF000000"/>
      <name val="Calibri"/>
      <family val="2"/>
    </font>
    <font>
      <b/>
      <sz val="11"/>
      <color rgb="FF000000"/>
      <name val="Arial3"/>
    </font>
    <font>
      <sz val="10"/>
      <name val="Arial"/>
      <family val="2"/>
      <charset val="1"/>
    </font>
    <font>
      <b/>
      <sz val="18"/>
      <color rgb="FF333399"/>
      <name val="Cambria"/>
      <family val="1"/>
    </font>
    <font>
      <b/>
      <sz val="15"/>
      <color rgb="FF33339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rgb="FF000000"/>
      <name val="Courier New"/>
      <family val="3"/>
    </font>
    <font>
      <b/>
      <sz val="11"/>
      <name val="Courier New"/>
      <family val="3"/>
      <charset val="1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0000"/>
        <bgColor rgb="FFFF0000"/>
      </patternFill>
    </fill>
    <fill>
      <patternFill patternType="solid">
        <fgColor rgb="FFB3B3B3"/>
        <bgColor rgb="FFB3B3B3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E6E6E6"/>
        <bgColor rgb="FFE6E6E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7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5" fillId="0" borderId="2">
      <alignment horizontal="right" vertical="center" wrapText="1"/>
    </xf>
    <xf numFmtId="4" fontId="6" fillId="0" borderId="3" applyProtection="0">
      <alignment horizontal="right" vertical="center" wrapText="1"/>
    </xf>
    <xf numFmtId="166" fontId="7" fillId="0" borderId="0"/>
    <xf numFmtId="167" fontId="8" fillId="0" borderId="0"/>
    <xf numFmtId="0" fontId="9" fillId="0" borderId="0"/>
    <xf numFmtId="168" fontId="9" fillId="0" borderId="0"/>
    <xf numFmtId="0" fontId="7" fillId="0" borderId="0"/>
    <xf numFmtId="168" fontId="8" fillId="0" borderId="0"/>
    <xf numFmtId="0" fontId="7" fillId="3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 applyNumberFormat="0" applyFill="0" applyBorder="0" applyAlignment="0" applyProtection="0"/>
    <xf numFmtId="169" fontId="12" fillId="0" borderId="0" applyBorder="0" applyAlignment="0" applyProtection="0"/>
    <xf numFmtId="44" fontId="4" fillId="0" borderId="0" applyFont="0" applyFill="0" applyBorder="0" applyAlignment="0" applyProtection="0"/>
    <xf numFmtId="169" fontId="7" fillId="0" borderId="0"/>
    <xf numFmtId="170" fontId="6" fillId="0" borderId="0" applyFill="0" applyBorder="0" applyAlignment="0" applyProtection="0"/>
    <xf numFmtId="0" fontId="6" fillId="0" borderId="0"/>
    <xf numFmtId="0" fontId="4" fillId="0" borderId="0"/>
    <xf numFmtId="0" fontId="7" fillId="0" borderId="0"/>
    <xf numFmtId="0" fontId="7" fillId="0" borderId="0"/>
    <xf numFmtId="0" fontId="13" fillId="0" borderId="0"/>
    <xf numFmtId="0" fontId="14" fillId="0" borderId="0"/>
    <xf numFmtId="9" fontId="12" fillId="0" borderId="0" applyBorder="0" applyAlignment="0" applyProtection="0"/>
    <xf numFmtId="9" fontId="5" fillId="0" borderId="0"/>
    <xf numFmtId="9" fontId="6" fillId="0" borderId="0" applyFill="0" applyBorder="0" applyAlignment="0" applyProtection="0"/>
    <xf numFmtId="0" fontId="15" fillId="0" borderId="0"/>
    <xf numFmtId="171" fontId="15" fillId="0" borderId="0"/>
    <xf numFmtId="0" fontId="7" fillId="4" borderId="0"/>
    <xf numFmtId="0" fontId="7" fillId="5" borderId="0"/>
    <xf numFmtId="0" fontId="7" fillId="4" borderId="0"/>
    <xf numFmtId="0" fontId="16" fillId="5" borderId="0"/>
    <xf numFmtId="0" fontId="16" fillId="0" borderId="2"/>
    <xf numFmtId="0" fontId="7" fillId="5" borderId="0"/>
    <xf numFmtId="4" fontId="16" fillId="6" borderId="0"/>
    <xf numFmtId="0" fontId="17" fillId="6" borderId="0"/>
    <xf numFmtId="0" fontId="18" fillId="7" borderId="0"/>
    <xf numFmtId="0" fontId="7" fillId="0" borderId="0"/>
    <xf numFmtId="172" fontId="19" fillId="0" borderId="0" applyBorder="0" applyProtection="0"/>
    <xf numFmtId="0" fontId="5" fillId="8" borderId="0"/>
    <xf numFmtId="0" fontId="20" fillId="0" borderId="0"/>
    <xf numFmtId="0" fontId="20" fillId="0" borderId="0"/>
    <xf numFmtId="0" fontId="21" fillId="0" borderId="4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24" fillId="7" borderId="0">
      <alignment horizontal="left"/>
    </xf>
    <xf numFmtId="0" fontId="25" fillId="10" borderId="0" applyNumberFormat="0" applyBorder="0" applyProtection="0">
      <alignment horizontal="left"/>
    </xf>
    <xf numFmtId="173" fontId="7" fillId="0" borderId="0"/>
    <xf numFmtId="43" fontId="6" fillId="0" borderId="0" applyFont="0" applyFill="0" applyBorder="0" applyAlignment="0" applyProtection="0"/>
    <xf numFmtId="174" fontId="5" fillId="0" borderId="0"/>
    <xf numFmtId="175" fontId="6" fillId="0" borderId="0" applyFill="0" applyBorder="0" applyAlignment="0" applyProtection="0"/>
    <xf numFmtId="174" fontId="5" fillId="0" borderId="0"/>
    <xf numFmtId="172" fontId="6" fillId="0" borderId="0" applyFill="0" applyBorder="0" applyAlignment="0" applyProtection="0"/>
  </cellStyleXfs>
  <cellXfs count="80">
    <xf numFmtId="0" fontId="0" fillId="0" borderId="0" xfId="0"/>
    <xf numFmtId="4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2" borderId="1" xfId="0" applyNumberFormat="1" applyFont="1" applyFill="1" applyBorder="1"/>
    <xf numFmtId="10" fontId="3" fillId="2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44" fontId="3" fillId="0" borderId="1" xfId="0" applyNumberFormat="1" applyFont="1" applyFill="1" applyBorder="1"/>
    <xf numFmtId="10" fontId="3" fillId="0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6" fillId="0" borderId="0" xfId="0" applyFont="1"/>
    <xf numFmtId="0" fontId="3" fillId="11" borderId="1" xfId="0" applyFont="1" applyFill="1" applyBorder="1"/>
    <xf numFmtId="0" fontId="3" fillId="11" borderId="1" xfId="0" applyFont="1" applyFill="1" applyBorder="1" applyAlignment="1">
      <alignment wrapText="1"/>
    </xf>
    <xf numFmtId="164" fontId="3" fillId="11" borderId="1" xfId="0" applyNumberFormat="1" applyFont="1" applyFill="1" applyBorder="1"/>
    <xf numFmtId="44" fontId="3" fillId="11" borderId="1" xfId="0" applyNumberFormat="1" applyFont="1" applyFill="1" applyBorder="1"/>
    <xf numFmtId="10" fontId="3" fillId="11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44" fontId="2" fillId="0" borderId="0" xfId="1" applyFont="1"/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10" fontId="2" fillId="0" borderId="0" xfId="2" applyNumberFormat="1" applyFont="1"/>
    <xf numFmtId="165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/>
    <xf numFmtId="0" fontId="3" fillId="13" borderId="1" xfId="0" applyFont="1" applyFill="1" applyBorder="1" applyAlignment="1">
      <alignment wrapText="1"/>
    </xf>
    <xf numFmtId="164" fontId="3" fillId="13" borderId="1" xfId="0" applyNumberFormat="1" applyFont="1" applyFill="1" applyBorder="1"/>
    <xf numFmtId="44" fontId="3" fillId="13" borderId="1" xfId="0" applyNumberFormat="1" applyFont="1" applyFill="1" applyBorder="1"/>
    <xf numFmtId="10" fontId="3" fillId="13" borderId="1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9" fontId="2" fillId="0" borderId="0" xfId="0" applyNumberFormat="1" applyFont="1"/>
    <xf numFmtId="0" fontId="2" fillId="0" borderId="1" xfId="0" applyNumberFormat="1" applyFont="1" applyBorder="1" applyAlignment="1">
      <alignment horizontal="center" vertical="center" textRotation="90"/>
    </xf>
    <xf numFmtId="0" fontId="0" fillId="0" borderId="1" xfId="0" applyBorder="1"/>
    <xf numFmtId="0" fontId="2" fillId="0" borderId="0" xfId="0" applyFont="1" applyBorder="1"/>
    <xf numFmtId="0" fontId="3" fillId="2" borderId="9" xfId="0" applyFont="1" applyFill="1" applyBorder="1"/>
    <xf numFmtId="0" fontId="3" fillId="0" borderId="10" xfId="0" applyFont="1" applyBorder="1" applyAlignment="1">
      <alignment horizontal="center"/>
    </xf>
    <xf numFmtId="0" fontId="0" fillId="0" borderId="1" xfId="0" applyFill="1" applyBorder="1"/>
    <xf numFmtId="0" fontId="2" fillId="0" borderId="0" xfId="0" quotePrefix="1" applyFont="1"/>
    <xf numFmtId="0" fontId="27" fillId="0" borderId="0" xfId="0" applyFont="1"/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165" fontId="2" fillId="12" borderId="1" xfId="0" applyNumberFormat="1" applyFont="1" applyFill="1" applyBorder="1" applyAlignment="1" applyProtection="1">
      <alignment horizontal="center" vertical="center"/>
      <protection locked="0"/>
    </xf>
    <xf numFmtId="0" fontId="2" fillId="12" borderId="11" xfId="0" applyFont="1" applyFill="1" applyBorder="1" applyAlignment="1" applyProtection="1">
      <alignment horizontal="center"/>
      <protection locked="0"/>
    </xf>
    <xf numFmtId="44" fontId="2" fillId="12" borderId="1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left"/>
    </xf>
    <xf numFmtId="0" fontId="2" fillId="12" borderId="1" xfId="0" applyFont="1" applyFill="1" applyBorder="1"/>
    <xf numFmtId="0" fontId="28" fillId="0" borderId="0" xfId="0" applyFont="1"/>
    <xf numFmtId="176" fontId="3" fillId="11" borderId="1" xfId="0" applyNumberFormat="1" applyFont="1" applyFill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3" fillId="13" borderId="1" xfId="0" applyNumberFormat="1" applyFont="1" applyFill="1" applyBorder="1" applyAlignment="1">
      <alignment horizontal="center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9" fillId="0" borderId="0" xfId="0" applyFont="1"/>
    <xf numFmtId="0" fontId="30" fillId="0" borderId="0" xfId="0" applyFont="1"/>
    <xf numFmtId="177" fontId="0" fillId="0" borderId="0" xfId="0" applyNumberFormat="1"/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1" fillId="14" borderId="0" xfId="0" applyFont="1" applyFill="1"/>
    <xf numFmtId="0" fontId="0" fillId="14" borderId="0" xfId="0" applyFill="1"/>
  </cellXfs>
  <cellStyles count="57">
    <cellStyle name="COMUM" xfId="3"/>
    <cellStyle name="COMUM 2" xfId="4"/>
    <cellStyle name="Excel Built-in Comma" xfId="5"/>
    <cellStyle name="Excel Built-in Currency" xfId="6"/>
    <cellStyle name="Excel Built-in Hyperlink" xfId="7"/>
    <cellStyle name="Excel Built-in Hyperlink 2" xfId="8"/>
    <cellStyle name="Excel Built-in Normal" xfId="9"/>
    <cellStyle name="Excel Built-in Normal 2" xfId="10"/>
    <cellStyle name="Excel_BuiltIn_20% - Ênfase1" xfId="11"/>
    <cellStyle name="Heading" xfId="12"/>
    <cellStyle name="Heading1" xfId="13"/>
    <cellStyle name="Hiperlink 2" xfId="14"/>
    <cellStyle name="Moeda" xfId="1" builtinId="4"/>
    <cellStyle name="Moeda 2" xfId="15"/>
    <cellStyle name="Moeda 2 2" xfId="16"/>
    <cellStyle name="Moeda 3" xfId="17"/>
    <cellStyle name="Moeda 4" xfId="18"/>
    <cellStyle name="Normal" xfId="0" builtinId="0"/>
    <cellStyle name="Normal 2" xfId="19"/>
    <cellStyle name="Normal 2 2" xfId="20"/>
    <cellStyle name="Normal 2 3" xfId="21"/>
    <cellStyle name="Normal 3" xfId="22"/>
    <cellStyle name="Normal 4" xfId="23"/>
    <cellStyle name="Normal 5" xfId="24"/>
    <cellStyle name="Porcentagem" xfId="2" builtinId="5"/>
    <cellStyle name="Porcentagem 2" xfId="25"/>
    <cellStyle name="Porcentagem 3 2" xfId="26"/>
    <cellStyle name="Porcentagem 3 2 2" xfId="27"/>
    <cellStyle name="Result" xfId="28"/>
    <cellStyle name="Result2" xfId="29"/>
    <cellStyle name="Sem título1" xfId="30"/>
    <cellStyle name="Sem título1 2" xfId="31"/>
    <cellStyle name="Sem título2" xfId="32"/>
    <cellStyle name="Sem título2 2" xfId="33"/>
    <cellStyle name="Sem título3" xfId="34"/>
    <cellStyle name="Sem título4" xfId="35"/>
    <cellStyle name="Sem título5" xfId="36"/>
    <cellStyle name="Sem título6" xfId="37"/>
    <cellStyle name="Sem título7" xfId="38"/>
    <cellStyle name="Texto Explicativo 2" xfId="39"/>
    <cellStyle name="Texto Explicativo 3" xfId="40"/>
    <cellStyle name="Titulo" xfId="41"/>
    <cellStyle name="Título 1 1" xfId="42"/>
    <cellStyle name="Título 1 1 1" xfId="43"/>
    <cellStyle name="Título 1 1 1 1" xfId="44"/>
    <cellStyle name="Título 1 1 1 1 2" xfId="45"/>
    <cellStyle name="Título 1 1 1 2" xfId="46"/>
    <cellStyle name="Título 1 1 2" xfId="47"/>
    <cellStyle name="Titulo 2" xfId="48"/>
    <cellStyle name="Titulo-Volare" xfId="49"/>
    <cellStyle name="Titulo-Volare 2" xfId="50"/>
    <cellStyle name="Vírgula 2" xfId="51"/>
    <cellStyle name="Vírgula 2 2" xfId="52"/>
    <cellStyle name="Vírgula 3" xfId="53"/>
    <cellStyle name="Vírgula 3 2" xfId="54"/>
    <cellStyle name="Vírgula 5" xfId="55"/>
    <cellStyle name="Vírgula 5 2" xfId="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ITEM 1 - topografia e sondagens (ÍNDICE = 0,32)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193701702087817E-2"/>
          <c:y val="8.7118457300275481E-2"/>
          <c:w val="0.6627468055461655"/>
          <c:h val="0.76729823648077045"/>
        </c:manualLayout>
      </c:layout>
      <c:scatterChart>
        <c:scatterStyle val="lineMarker"/>
        <c:varyColors val="0"/>
        <c:ser>
          <c:idx val="5"/>
          <c:order val="0"/>
          <c:tx>
            <c:v>R$ 200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'top e geo'!$B$8:$B$27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'top e geo'!$H$8:$H$27</c:f>
              <c:numCache>
                <c:formatCode>General</c:formatCode>
                <c:ptCount val="20"/>
                <c:pt idx="0">
                  <c:v>12.241311997312472</c:v>
                </c:pt>
                <c:pt idx="1">
                  <c:v>10.408579494117843</c:v>
                </c:pt>
                <c:pt idx="2">
                  <c:v>9.2771796950745014</c:v>
                </c:pt>
                <c:pt idx="3">
                  <c:v>8.4850022843903652</c:v>
                </c:pt>
                <c:pt idx="4">
                  <c:v>7.8882281865374173</c:v>
                </c:pt>
                <c:pt idx="5">
                  <c:v>7.4165298550551455</c:v>
                </c:pt>
                <c:pt idx="6">
                  <c:v>7.0307874771591532</c:v>
                </c:pt>
                <c:pt idx="7">
                  <c:v>6.7072263304245139</c:v>
                </c:pt>
                <c:pt idx="8">
                  <c:v>6.4304292646645242</c:v>
                </c:pt>
                <c:pt idx="9">
                  <c:v>6.189889429456148</c:v>
                </c:pt>
                <c:pt idx="10">
                  <c:v>5.9781590713745194</c:v>
                </c:pt>
                <c:pt idx="11">
                  <c:v>5.7897875011560815</c:v>
                </c:pt>
                <c:pt idx="12">
                  <c:v>5.6206785836630253</c:v>
                </c:pt>
                <c:pt idx="13">
                  <c:v>5.4676846891294826</c:v>
                </c:pt>
                <c:pt idx="14">
                  <c:v>5.3283405273719868</c:v>
                </c:pt>
                <c:pt idx="15">
                  <c:v>5.2006831671923086</c:v>
                </c:pt>
                <c:pt idx="16">
                  <c:v>5.0831270321795907</c:v>
                </c:pt>
                <c:pt idx="17">
                  <c:v>4.9743750330405669</c:v>
                </c:pt>
                <c:pt idx="18">
                  <c:v>4.8733540831126483</c:v>
                </c:pt>
                <c:pt idx="19">
                  <c:v>4.7791674504976598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99-494B-A843-7F96446032FB}"/>
            </c:ext>
          </c:extLst>
        </c:ser>
        <c:ser>
          <c:idx val="4"/>
          <c:order val="1"/>
          <c:tx>
            <c:v>R$ 150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'top e geo'!$B$8:$B$27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'top e geo'!$G$8:$G$27</c:f>
              <c:numCache>
                <c:formatCode>General</c:formatCode>
                <c:ptCount val="20"/>
                <c:pt idx="0">
                  <c:v>9.1809839979843542</c:v>
                </c:pt>
                <c:pt idx="1">
                  <c:v>7.8064346205883828</c:v>
                </c:pt>
                <c:pt idx="2">
                  <c:v>6.957884771305876</c:v>
                </c:pt>
                <c:pt idx="3">
                  <c:v>6.3637517132927739</c:v>
                </c:pt>
                <c:pt idx="4">
                  <c:v>5.9161711399030636</c:v>
                </c:pt>
                <c:pt idx="5">
                  <c:v>5.5623973912913591</c:v>
                </c:pt>
                <c:pt idx="6">
                  <c:v>5.2730906078693653</c:v>
                </c:pt>
                <c:pt idx="7">
                  <c:v>5.0304197478183852</c:v>
                </c:pt>
                <c:pt idx="8">
                  <c:v>4.822821948498393</c:v>
                </c:pt>
                <c:pt idx="9">
                  <c:v>4.6424170720921119</c:v>
                </c:pt>
                <c:pt idx="10">
                  <c:v>4.4836193035308893</c:v>
                </c:pt>
                <c:pt idx="11">
                  <c:v>4.3423406258670614</c:v>
                </c:pt>
                <c:pt idx="12">
                  <c:v>4.215508937747269</c:v>
                </c:pt>
                <c:pt idx="13">
                  <c:v>4.1007635168471124</c:v>
                </c:pt>
                <c:pt idx="14">
                  <c:v>3.996255395528991</c:v>
                </c:pt>
                <c:pt idx="15">
                  <c:v>3.9005123753942317</c:v>
                </c:pt>
                <c:pt idx="16">
                  <c:v>3.8123452741346928</c:v>
                </c:pt>
                <c:pt idx="17">
                  <c:v>3.730781274780425</c:v>
                </c:pt>
                <c:pt idx="18">
                  <c:v>3.6550155623344867</c:v>
                </c:pt>
                <c:pt idx="19">
                  <c:v>3.5843755878732448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99-494B-A843-7F96446032FB}"/>
            </c:ext>
          </c:extLst>
        </c:ser>
        <c:ser>
          <c:idx val="3"/>
          <c:order val="2"/>
          <c:tx>
            <c:v>R$ 125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'top e geo'!$B$8:$B$27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'top e geo'!$F$8:$F$27</c:f>
              <c:numCache>
                <c:formatCode>General</c:formatCode>
                <c:ptCount val="20"/>
                <c:pt idx="0">
                  <c:v>7.6508199983202951</c:v>
                </c:pt>
                <c:pt idx="1">
                  <c:v>6.5053621838236513</c:v>
                </c:pt>
                <c:pt idx="2">
                  <c:v>5.7982373094215633</c:v>
                </c:pt>
                <c:pt idx="3">
                  <c:v>5.3031264277439787</c:v>
                </c:pt>
                <c:pt idx="4">
                  <c:v>4.9301426165858864</c:v>
                </c:pt>
                <c:pt idx="5">
                  <c:v>4.6353311594094659</c:v>
                </c:pt>
                <c:pt idx="6">
                  <c:v>4.3942421732244714</c:v>
                </c:pt>
                <c:pt idx="7">
                  <c:v>4.1920164565153213</c:v>
                </c:pt>
                <c:pt idx="8">
                  <c:v>4.0190182904153273</c:v>
                </c:pt>
                <c:pt idx="9">
                  <c:v>3.8686808934100929</c:v>
                </c:pt>
                <c:pt idx="10">
                  <c:v>3.7363494196090747</c:v>
                </c:pt>
                <c:pt idx="11">
                  <c:v>3.6186171882225509</c:v>
                </c:pt>
                <c:pt idx="12">
                  <c:v>3.5129241147893908</c:v>
                </c:pt>
                <c:pt idx="13">
                  <c:v>3.4173029307059264</c:v>
                </c:pt>
                <c:pt idx="14">
                  <c:v>3.3302128296074924</c:v>
                </c:pt>
                <c:pt idx="15">
                  <c:v>3.2504269794951925</c:v>
                </c:pt>
                <c:pt idx="16">
                  <c:v>3.1769543951122441</c:v>
                </c:pt>
                <c:pt idx="17">
                  <c:v>3.1089843956503547</c:v>
                </c:pt>
                <c:pt idx="18">
                  <c:v>3.0458463019454052</c:v>
                </c:pt>
                <c:pt idx="19">
                  <c:v>2.9869796565610374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99-494B-A843-7F96446032FB}"/>
            </c:ext>
          </c:extLst>
        </c:ser>
        <c:ser>
          <c:idx val="2"/>
          <c:order val="3"/>
          <c:tx>
            <c:v>R$ 100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'top e geo'!$B$8:$B$27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'top e geo'!$E$8:$E$27</c:f>
              <c:numCache>
                <c:formatCode>General</c:formatCode>
                <c:ptCount val="20"/>
                <c:pt idx="0">
                  <c:v>6.1206559986562361</c:v>
                </c:pt>
                <c:pt idx="1">
                  <c:v>5.2042897470589216</c:v>
                </c:pt>
                <c:pt idx="2">
                  <c:v>4.6385898475372507</c:v>
                </c:pt>
                <c:pt idx="3">
                  <c:v>4.2425011421951826</c:v>
                </c:pt>
                <c:pt idx="4">
                  <c:v>3.9441140932687087</c:v>
                </c:pt>
                <c:pt idx="5">
                  <c:v>3.7082649275275728</c:v>
                </c:pt>
                <c:pt idx="6">
                  <c:v>3.5153937385795766</c:v>
                </c:pt>
                <c:pt idx="7">
                  <c:v>3.3536131652122569</c:v>
                </c:pt>
                <c:pt idx="8">
                  <c:v>3.2152146323322621</c:v>
                </c:pt>
                <c:pt idx="9">
                  <c:v>3.094944714728074</c:v>
                </c:pt>
                <c:pt idx="10">
                  <c:v>2.9890795356872597</c:v>
                </c:pt>
                <c:pt idx="11">
                  <c:v>2.8948937505780408</c:v>
                </c:pt>
                <c:pt idx="12">
                  <c:v>2.8103392918315127</c:v>
                </c:pt>
                <c:pt idx="13">
                  <c:v>2.7338423445647413</c:v>
                </c:pt>
                <c:pt idx="14">
                  <c:v>2.6641702636859934</c:v>
                </c:pt>
                <c:pt idx="15">
                  <c:v>2.6003415835961543</c:v>
                </c:pt>
                <c:pt idx="16">
                  <c:v>2.5415635160897954</c:v>
                </c:pt>
                <c:pt idx="17">
                  <c:v>2.4871875165202835</c:v>
                </c:pt>
                <c:pt idx="18">
                  <c:v>2.4366770415563241</c:v>
                </c:pt>
                <c:pt idx="19">
                  <c:v>2.3895837252488299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99-494B-A843-7F96446032FB}"/>
            </c:ext>
          </c:extLst>
        </c:ser>
        <c:ser>
          <c:idx val="1"/>
          <c:order val="4"/>
          <c:tx>
            <c:v>R$ 75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'top e geo'!$B$8:$B$27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'top e geo'!$D$8:$D$27</c:f>
              <c:numCache>
                <c:formatCode>General</c:formatCode>
                <c:ptCount val="20"/>
                <c:pt idx="0">
                  <c:v>4.5904919989921771</c:v>
                </c:pt>
                <c:pt idx="1">
                  <c:v>3.9032173102941914</c:v>
                </c:pt>
                <c:pt idx="2">
                  <c:v>3.478942385652938</c:v>
                </c:pt>
                <c:pt idx="3">
                  <c:v>3.1818758566463869</c:v>
                </c:pt>
                <c:pt idx="4">
                  <c:v>2.9580855699515318</c:v>
                </c:pt>
                <c:pt idx="5">
                  <c:v>2.7811986956456796</c:v>
                </c:pt>
                <c:pt idx="6">
                  <c:v>2.6365453039346827</c:v>
                </c:pt>
                <c:pt idx="7">
                  <c:v>2.5152098739091926</c:v>
                </c:pt>
                <c:pt idx="8">
                  <c:v>2.4114109742491965</c:v>
                </c:pt>
                <c:pt idx="9">
                  <c:v>2.3212085360460559</c:v>
                </c:pt>
                <c:pt idx="10">
                  <c:v>2.2418096517654447</c:v>
                </c:pt>
                <c:pt idx="11">
                  <c:v>2.1711703129335307</c:v>
                </c:pt>
                <c:pt idx="12">
                  <c:v>2.1077544688736345</c:v>
                </c:pt>
                <c:pt idx="13">
                  <c:v>2.0503817584235562</c:v>
                </c:pt>
                <c:pt idx="14">
                  <c:v>1.9981276977644955</c:v>
                </c:pt>
                <c:pt idx="15">
                  <c:v>1.9502561876971158</c:v>
                </c:pt>
                <c:pt idx="16">
                  <c:v>1.9061726370673464</c:v>
                </c:pt>
                <c:pt idx="17">
                  <c:v>1.8653906373902125</c:v>
                </c:pt>
                <c:pt idx="18">
                  <c:v>1.8275077811672433</c:v>
                </c:pt>
                <c:pt idx="19">
                  <c:v>1.7921877939366224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99-494B-A843-7F96446032FB}"/>
            </c:ext>
          </c:extLst>
        </c:ser>
        <c:ser>
          <c:idx val="0"/>
          <c:order val="5"/>
          <c:tx>
            <c:v>R$ 50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'top e geo'!$B$8:$B$27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'top e geo'!$C$8:$C$27</c:f>
              <c:numCache>
                <c:formatCode>General</c:formatCode>
                <c:ptCount val="20"/>
                <c:pt idx="0">
                  <c:v>3.0603279993281181</c:v>
                </c:pt>
                <c:pt idx="1">
                  <c:v>2.6021448735294608</c:v>
                </c:pt>
                <c:pt idx="2">
                  <c:v>2.3192949237686253</c:v>
                </c:pt>
                <c:pt idx="3">
                  <c:v>2.1212505710975913</c:v>
                </c:pt>
                <c:pt idx="4">
                  <c:v>1.9720570466343543</c:v>
                </c:pt>
                <c:pt idx="5">
                  <c:v>1.8541324637637864</c:v>
                </c:pt>
                <c:pt idx="6">
                  <c:v>1.7576968692897883</c:v>
                </c:pt>
                <c:pt idx="7">
                  <c:v>1.6768065826061285</c:v>
                </c:pt>
                <c:pt idx="8">
                  <c:v>1.6076073161661311</c:v>
                </c:pt>
                <c:pt idx="9">
                  <c:v>1.547472357364037</c:v>
                </c:pt>
                <c:pt idx="10">
                  <c:v>1.4945397678436299</c:v>
                </c:pt>
                <c:pt idx="11">
                  <c:v>1.4474468752890204</c:v>
                </c:pt>
                <c:pt idx="12">
                  <c:v>1.4051696459157563</c:v>
                </c:pt>
                <c:pt idx="13">
                  <c:v>1.3669211722823706</c:v>
                </c:pt>
                <c:pt idx="14">
                  <c:v>1.3320851318429967</c:v>
                </c:pt>
                <c:pt idx="15">
                  <c:v>1.3001707917980772</c:v>
                </c:pt>
                <c:pt idx="16">
                  <c:v>1.2707817580448977</c:v>
                </c:pt>
                <c:pt idx="17">
                  <c:v>1.2435937582601417</c:v>
                </c:pt>
                <c:pt idx="18">
                  <c:v>1.2183385207781621</c:v>
                </c:pt>
                <c:pt idx="19">
                  <c:v>1.1947918626244149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99-494B-A843-7F9644603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046223"/>
        <c:axId val="1144534895"/>
      </c:scatterChart>
      <c:valAx>
        <c:axId val="1241046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ÁREA EQUIVALENTE</a:t>
                </a:r>
                <a:r>
                  <a:rPr lang="pt-BR" baseline="0"/>
                  <a:t> DE PROJETO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534895"/>
        <c:crosses val="autoZero"/>
        <c:crossBetween val="midCat"/>
      </c:valAx>
      <c:valAx>
        <c:axId val="114453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CUSTO</a:t>
                </a:r>
                <a:r>
                  <a:rPr lang="pt-BR" baseline="0"/>
                  <a:t> POR METRO QUADRADO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046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017871201505519"/>
          <c:y val="0.28181792152014062"/>
          <c:w val="0.11988035246996243"/>
          <c:h val="0.41404984707490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ITEM 2 - PROJETOS ARQUITETURA E COMPLEMENTARES (ÍNDICE ~ 3,5)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193701702087817E-2"/>
          <c:y val="8.7118457300275481E-2"/>
          <c:w val="0.6627468055461655"/>
          <c:h val="0.76729823648077045"/>
        </c:manualLayout>
      </c:layout>
      <c:scatterChart>
        <c:scatterStyle val="lineMarker"/>
        <c:varyColors val="0"/>
        <c:ser>
          <c:idx val="5"/>
          <c:order val="0"/>
          <c:tx>
            <c:v>R$ 200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'obra nova'!$B$8:$B$27</c:f>
              <c:numCache>
                <c:formatCode>General</c:formatCode>
                <c:ptCount val="2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1200</c:v>
                </c:pt>
                <c:pt idx="14">
                  <c:v>1300</c:v>
                </c:pt>
                <c:pt idx="15">
                  <c:v>1400</c:v>
                </c:pt>
                <c:pt idx="16">
                  <c:v>1500</c:v>
                </c:pt>
                <c:pt idx="17">
                  <c:v>1600</c:v>
                </c:pt>
                <c:pt idx="18">
                  <c:v>1700</c:v>
                </c:pt>
                <c:pt idx="19">
                  <c:v>1800</c:v>
                </c:pt>
              </c:numCache>
            </c:numRef>
          </c:xVal>
          <c:yVal>
            <c:numRef>
              <c:f>'obra nova'!$H$8:$H$27</c:f>
              <c:numCache>
                <c:formatCode>General</c:formatCode>
                <c:ptCount val="20"/>
                <c:pt idx="0">
                  <c:v>164.24249468365772</c:v>
                </c:pt>
                <c:pt idx="1">
                  <c:v>154.42116233008977</c:v>
                </c:pt>
                <c:pt idx="2">
                  <c:v>146.38953736277824</c:v>
                </c:pt>
                <c:pt idx="3">
                  <c:v>139.65260117562553</c:v>
                </c:pt>
                <c:pt idx="4">
                  <c:v>133.88934997060517</c:v>
                </c:pt>
                <c:pt idx="5">
                  <c:v>128.88101835656229</c:v>
                </c:pt>
                <c:pt idx="6">
                  <c:v>124.472535058508</c:v>
                </c:pt>
                <c:pt idx="7">
                  <c:v>120.55041010363465</c:v>
                </c:pt>
                <c:pt idx="8">
                  <c:v>117.02935698175422</c:v>
                </c:pt>
                <c:pt idx="9">
                  <c:v>110.94252347227795</c:v>
                </c:pt>
                <c:pt idx="10">
                  <c:v>105.83688057908255</c:v>
                </c:pt>
                <c:pt idx="11">
                  <c:v>101.46915291487736</c:v>
                </c:pt>
                <c:pt idx="12">
                  <c:v>97.673547315886083</c:v>
                </c:pt>
                <c:pt idx="13">
                  <c:v>94.332541731863444</c:v>
                </c:pt>
                <c:pt idx="14">
                  <c:v>91.360126846850747</c:v>
                </c:pt>
                <c:pt idx="15">
                  <c:v>88.691667572652094</c:v>
                </c:pt>
                <c:pt idx="16">
                  <c:v>86.277495790252999</c:v>
                </c:pt>
                <c:pt idx="17">
                  <c:v>84.078710378700194</c:v>
                </c:pt>
                <c:pt idx="18">
                  <c:v>82.064337205829716</c:v>
                </c:pt>
                <c:pt idx="19">
                  <c:v>80.209356620749006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2D-4878-B61E-A0614BCEC8B0}"/>
            </c:ext>
          </c:extLst>
        </c:ser>
        <c:ser>
          <c:idx val="4"/>
          <c:order val="1"/>
          <c:tx>
            <c:v>R$ 150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'obra nova'!$B$8:$B$27</c:f>
              <c:numCache>
                <c:formatCode>General</c:formatCode>
                <c:ptCount val="2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1200</c:v>
                </c:pt>
                <c:pt idx="14">
                  <c:v>1300</c:v>
                </c:pt>
                <c:pt idx="15">
                  <c:v>1400</c:v>
                </c:pt>
                <c:pt idx="16">
                  <c:v>1500</c:v>
                </c:pt>
                <c:pt idx="17">
                  <c:v>1600</c:v>
                </c:pt>
                <c:pt idx="18">
                  <c:v>1700</c:v>
                </c:pt>
                <c:pt idx="19">
                  <c:v>1800</c:v>
                </c:pt>
              </c:numCache>
            </c:numRef>
          </c:xVal>
          <c:yVal>
            <c:numRef>
              <c:f>'obra nova'!$G$8:$G$27</c:f>
              <c:numCache>
                <c:formatCode>General</c:formatCode>
                <c:ptCount val="20"/>
                <c:pt idx="0">
                  <c:v>123.18187101274329</c:v>
                </c:pt>
                <c:pt idx="1">
                  <c:v>115.81587174756733</c:v>
                </c:pt>
                <c:pt idx="2">
                  <c:v>109.79215302208368</c:v>
                </c:pt>
                <c:pt idx="3">
                  <c:v>104.73945088171914</c:v>
                </c:pt>
                <c:pt idx="4">
                  <c:v>100.41701247795388</c:v>
                </c:pt>
                <c:pt idx="5">
                  <c:v>96.660763767421727</c:v>
                </c:pt>
                <c:pt idx="6">
                  <c:v>93.354401293881011</c:v>
                </c:pt>
                <c:pt idx="7">
                  <c:v>90.412807577725971</c:v>
                </c:pt>
                <c:pt idx="8">
                  <c:v>87.772017736315661</c:v>
                </c:pt>
                <c:pt idx="9">
                  <c:v>83.206892604208477</c:v>
                </c:pt>
                <c:pt idx="10">
                  <c:v>79.377660434311906</c:v>
                </c:pt>
                <c:pt idx="11">
                  <c:v>76.101864686158024</c:v>
                </c:pt>
                <c:pt idx="12">
                  <c:v>73.255160486914562</c:v>
                </c:pt>
                <c:pt idx="13">
                  <c:v>70.749406298897583</c:v>
                </c:pt>
                <c:pt idx="14">
                  <c:v>68.520095135138064</c:v>
                </c:pt>
                <c:pt idx="15">
                  <c:v>66.518750679489074</c:v>
                </c:pt>
                <c:pt idx="16">
                  <c:v>64.708121842689749</c:v>
                </c:pt>
                <c:pt idx="17">
                  <c:v>63.059032784025142</c:v>
                </c:pt>
                <c:pt idx="18">
                  <c:v>61.548252904372291</c:v>
                </c:pt>
                <c:pt idx="19">
                  <c:v>60.157017465561765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2D-4878-B61E-A0614BCEC8B0}"/>
            </c:ext>
          </c:extLst>
        </c:ser>
        <c:ser>
          <c:idx val="3"/>
          <c:order val="2"/>
          <c:tx>
            <c:v>R$ 125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'obra nova'!$B$8:$B$27</c:f>
              <c:numCache>
                <c:formatCode>General</c:formatCode>
                <c:ptCount val="2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1200</c:v>
                </c:pt>
                <c:pt idx="14">
                  <c:v>1300</c:v>
                </c:pt>
                <c:pt idx="15">
                  <c:v>1400</c:v>
                </c:pt>
                <c:pt idx="16">
                  <c:v>1500</c:v>
                </c:pt>
                <c:pt idx="17">
                  <c:v>1600</c:v>
                </c:pt>
                <c:pt idx="18">
                  <c:v>1700</c:v>
                </c:pt>
                <c:pt idx="19">
                  <c:v>1800</c:v>
                </c:pt>
              </c:numCache>
            </c:numRef>
          </c:xVal>
          <c:yVal>
            <c:numRef>
              <c:f>'obra nova'!$F$8:$F$27</c:f>
              <c:numCache>
                <c:formatCode>General</c:formatCode>
                <c:ptCount val="20"/>
                <c:pt idx="0">
                  <c:v>102.65155917728606</c:v>
                </c:pt>
                <c:pt idx="1">
                  <c:v>96.5132264563061</c:v>
                </c:pt>
                <c:pt idx="2">
                  <c:v>91.493460851736401</c:v>
                </c:pt>
                <c:pt idx="3">
                  <c:v>87.282875734765952</c:v>
                </c:pt>
                <c:pt idx="4">
                  <c:v>83.680843731628215</c:v>
                </c:pt>
                <c:pt idx="5">
                  <c:v>80.550636472851437</c:v>
                </c:pt>
                <c:pt idx="6">
                  <c:v>77.795334411567509</c:v>
                </c:pt>
                <c:pt idx="7">
                  <c:v>75.344006314771647</c:v>
                </c:pt>
                <c:pt idx="8">
                  <c:v>73.143348113596389</c:v>
                </c:pt>
                <c:pt idx="9">
                  <c:v>69.339077170173724</c:v>
                </c:pt>
                <c:pt idx="10">
                  <c:v>66.148050361926593</c:v>
                </c:pt>
                <c:pt idx="11">
                  <c:v>63.418220571798351</c:v>
                </c:pt>
                <c:pt idx="12">
                  <c:v>61.045967072428809</c:v>
                </c:pt>
                <c:pt idx="13">
                  <c:v>58.957838582414645</c:v>
                </c:pt>
                <c:pt idx="14">
                  <c:v>57.100079279281722</c:v>
                </c:pt>
                <c:pt idx="15">
                  <c:v>55.432292232907557</c:v>
                </c:pt>
                <c:pt idx="16">
                  <c:v>53.923434868908132</c:v>
                </c:pt>
                <c:pt idx="17">
                  <c:v>52.549193986687612</c:v>
                </c:pt>
                <c:pt idx="18">
                  <c:v>51.290210753643571</c:v>
                </c:pt>
                <c:pt idx="19">
                  <c:v>50.13084788796813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2D-4878-B61E-A0614BCEC8B0}"/>
            </c:ext>
          </c:extLst>
        </c:ser>
        <c:ser>
          <c:idx val="2"/>
          <c:order val="3"/>
          <c:tx>
            <c:v>R$ 100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'obra nova'!$B$8:$B$27</c:f>
              <c:numCache>
                <c:formatCode>General</c:formatCode>
                <c:ptCount val="2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1200</c:v>
                </c:pt>
                <c:pt idx="14">
                  <c:v>1300</c:v>
                </c:pt>
                <c:pt idx="15">
                  <c:v>1400</c:v>
                </c:pt>
                <c:pt idx="16">
                  <c:v>1500</c:v>
                </c:pt>
                <c:pt idx="17">
                  <c:v>1600</c:v>
                </c:pt>
                <c:pt idx="18">
                  <c:v>1700</c:v>
                </c:pt>
                <c:pt idx="19">
                  <c:v>1800</c:v>
                </c:pt>
              </c:numCache>
            </c:numRef>
          </c:xVal>
          <c:yVal>
            <c:numRef>
              <c:f>'obra nova'!$E$8:$E$27</c:f>
              <c:numCache>
                <c:formatCode>General</c:formatCode>
                <c:ptCount val="20"/>
                <c:pt idx="0">
                  <c:v>82.121247341828862</c:v>
                </c:pt>
                <c:pt idx="1">
                  <c:v>77.210581165044886</c:v>
                </c:pt>
                <c:pt idx="2">
                  <c:v>73.194768681389121</c:v>
                </c:pt>
                <c:pt idx="3">
                  <c:v>69.826300587812767</c:v>
                </c:pt>
                <c:pt idx="4">
                  <c:v>66.944674985302584</c:v>
                </c:pt>
                <c:pt idx="5">
                  <c:v>64.440509178281147</c:v>
                </c:pt>
                <c:pt idx="6">
                  <c:v>62.236267529254</c:v>
                </c:pt>
                <c:pt idx="7">
                  <c:v>60.275205051817323</c:v>
                </c:pt>
                <c:pt idx="8">
                  <c:v>58.51467849087711</c:v>
                </c:pt>
                <c:pt idx="9">
                  <c:v>55.471261736138977</c:v>
                </c:pt>
                <c:pt idx="10">
                  <c:v>52.918440289541273</c:v>
                </c:pt>
                <c:pt idx="11">
                  <c:v>50.734576457438678</c:v>
                </c:pt>
                <c:pt idx="12">
                  <c:v>48.836773657943041</c:v>
                </c:pt>
                <c:pt idx="13">
                  <c:v>47.166270865931722</c:v>
                </c:pt>
                <c:pt idx="14">
                  <c:v>45.680063423425374</c:v>
                </c:pt>
                <c:pt idx="15">
                  <c:v>44.345833786326047</c:v>
                </c:pt>
                <c:pt idx="16">
                  <c:v>43.1387478951265</c:v>
                </c:pt>
                <c:pt idx="17">
                  <c:v>42.039355189350097</c:v>
                </c:pt>
                <c:pt idx="18">
                  <c:v>41.032168602914858</c:v>
                </c:pt>
                <c:pt idx="19">
                  <c:v>40.104678310374503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D-4878-B61E-A0614BCEC8B0}"/>
            </c:ext>
          </c:extLst>
        </c:ser>
        <c:ser>
          <c:idx val="1"/>
          <c:order val="4"/>
          <c:tx>
            <c:v>R$ 75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'obra nova'!$B$8:$B$27</c:f>
              <c:numCache>
                <c:formatCode>General</c:formatCode>
                <c:ptCount val="2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1200</c:v>
                </c:pt>
                <c:pt idx="14">
                  <c:v>1300</c:v>
                </c:pt>
                <c:pt idx="15">
                  <c:v>1400</c:v>
                </c:pt>
                <c:pt idx="16">
                  <c:v>1500</c:v>
                </c:pt>
                <c:pt idx="17">
                  <c:v>1600</c:v>
                </c:pt>
                <c:pt idx="18">
                  <c:v>1700</c:v>
                </c:pt>
                <c:pt idx="19">
                  <c:v>1800</c:v>
                </c:pt>
              </c:numCache>
            </c:numRef>
          </c:xVal>
          <c:yVal>
            <c:numRef>
              <c:f>'obra nova'!$D$8:$D$27</c:f>
              <c:numCache>
                <c:formatCode>General</c:formatCode>
                <c:ptCount val="20"/>
                <c:pt idx="0">
                  <c:v>61.590935506371643</c:v>
                </c:pt>
                <c:pt idx="1">
                  <c:v>57.907935873783664</c:v>
                </c:pt>
                <c:pt idx="2">
                  <c:v>54.896076511041841</c:v>
                </c:pt>
                <c:pt idx="3">
                  <c:v>52.369725440859568</c:v>
                </c:pt>
                <c:pt idx="4">
                  <c:v>50.208506238976938</c:v>
                </c:pt>
                <c:pt idx="5">
                  <c:v>48.330381883710864</c:v>
                </c:pt>
                <c:pt idx="6">
                  <c:v>46.677200646940506</c:v>
                </c:pt>
                <c:pt idx="7">
                  <c:v>45.206403788862985</c:v>
                </c:pt>
                <c:pt idx="8">
                  <c:v>43.88600886815783</c:v>
                </c:pt>
                <c:pt idx="9">
                  <c:v>41.603446302104238</c:v>
                </c:pt>
                <c:pt idx="10">
                  <c:v>39.688830217155953</c:v>
                </c:pt>
                <c:pt idx="11">
                  <c:v>38.050932343079012</c:v>
                </c:pt>
                <c:pt idx="12">
                  <c:v>36.627580243457281</c:v>
                </c:pt>
                <c:pt idx="13">
                  <c:v>35.374703149448791</c:v>
                </c:pt>
                <c:pt idx="14">
                  <c:v>34.260047567569032</c:v>
                </c:pt>
                <c:pt idx="15">
                  <c:v>33.259375339744537</c:v>
                </c:pt>
                <c:pt idx="16">
                  <c:v>32.354060921344875</c:v>
                </c:pt>
                <c:pt idx="17">
                  <c:v>31.529516392012571</c:v>
                </c:pt>
                <c:pt idx="18">
                  <c:v>30.774126452186145</c:v>
                </c:pt>
                <c:pt idx="19">
                  <c:v>30.078508732780882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D-4878-B61E-A0614BCEC8B0}"/>
            </c:ext>
          </c:extLst>
        </c:ser>
        <c:ser>
          <c:idx val="0"/>
          <c:order val="5"/>
          <c:tx>
            <c:v>R$ 50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'obra nova'!$B$8:$B$27</c:f>
              <c:numCache>
                <c:formatCode>General</c:formatCode>
                <c:ptCount val="20"/>
                <c:pt idx="0">
                  <c:v>300</c:v>
                </c:pt>
                <c:pt idx="1">
                  <c:v>350</c:v>
                </c:pt>
                <c:pt idx="2">
                  <c:v>400</c:v>
                </c:pt>
                <c:pt idx="3">
                  <c:v>450</c:v>
                </c:pt>
                <c:pt idx="4">
                  <c:v>500</c:v>
                </c:pt>
                <c:pt idx="5">
                  <c:v>550</c:v>
                </c:pt>
                <c:pt idx="6">
                  <c:v>600</c:v>
                </c:pt>
                <c:pt idx="7">
                  <c:v>650</c:v>
                </c:pt>
                <c:pt idx="8">
                  <c:v>700</c:v>
                </c:pt>
                <c:pt idx="9">
                  <c:v>800</c:v>
                </c:pt>
                <c:pt idx="10">
                  <c:v>900</c:v>
                </c:pt>
                <c:pt idx="11">
                  <c:v>1000</c:v>
                </c:pt>
                <c:pt idx="12">
                  <c:v>1100</c:v>
                </c:pt>
                <c:pt idx="13">
                  <c:v>1200</c:v>
                </c:pt>
                <c:pt idx="14">
                  <c:v>1300</c:v>
                </c:pt>
                <c:pt idx="15">
                  <c:v>1400</c:v>
                </c:pt>
                <c:pt idx="16">
                  <c:v>1500</c:v>
                </c:pt>
                <c:pt idx="17">
                  <c:v>1600</c:v>
                </c:pt>
                <c:pt idx="18">
                  <c:v>1700</c:v>
                </c:pt>
                <c:pt idx="19">
                  <c:v>1800</c:v>
                </c:pt>
              </c:numCache>
            </c:numRef>
          </c:xVal>
          <c:yVal>
            <c:numRef>
              <c:f>'obra nova'!$C$8:$C$27</c:f>
              <c:numCache>
                <c:formatCode>General</c:formatCode>
                <c:ptCount val="20"/>
                <c:pt idx="0">
                  <c:v>41.060623670914431</c:v>
                </c:pt>
                <c:pt idx="1">
                  <c:v>38.605290582522443</c:v>
                </c:pt>
                <c:pt idx="2">
                  <c:v>36.59738434069456</c:v>
                </c:pt>
                <c:pt idx="3">
                  <c:v>34.913150293906384</c:v>
                </c:pt>
                <c:pt idx="4">
                  <c:v>33.472337492651292</c:v>
                </c:pt>
                <c:pt idx="5">
                  <c:v>32.220254589140573</c:v>
                </c:pt>
                <c:pt idx="6">
                  <c:v>31.118133764627</c:v>
                </c:pt>
                <c:pt idx="7">
                  <c:v>30.137602525908662</c:v>
                </c:pt>
                <c:pt idx="8">
                  <c:v>29.257339245438555</c:v>
                </c:pt>
                <c:pt idx="9">
                  <c:v>27.735630868069489</c:v>
                </c:pt>
                <c:pt idx="10">
                  <c:v>26.459220144770637</c:v>
                </c:pt>
                <c:pt idx="11">
                  <c:v>25.367288228719339</c:v>
                </c:pt>
                <c:pt idx="12">
                  <c:v>24.418386828971521</c:v>
                </c:pt>
                <c:pt idx="13">
                  <c:v>23.583135432965861</c:v>
                </c:pt>
                <c:pt idx="14">
                  <c:v>22.840031711712687</c:v>
                </c:pt>
                <c:pt idx="15">
                  <c:v>22.172916893163023</c:v>
                </c:pt>
                <c:pt idx="16">
                  <c:v>21.56937394756325</c:v>
                </c:pt>
                <c:pt idx="17">
                  <c:v>21.019677594675048</c:v>
                </c:pt>
                <c:pt idx="18">
                  <c:v>20.516084301457429</c:v>
                </c:pt>
                <c:pt idx="19">
                  <c:v>20.052339155187251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D-4878-B61E-A0614BCEC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046223"/>
        <c:axId val="1144534895"/>
      </c:scatterChart>
      <c:valAx>
        <c:axId val="1241046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ÁREA EQUIVALENTE</a:t>
                </a:r>
                <a:r>
                  <a:rPr lang="pt-BR" baseline="0"/>
                  <a:t> DE PROJETO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534895"/>
        <c:crosses val="autoZero"/>
        <c:crossBetween val="midCat"/>
      </c:valAx>
      <c:valAx>
        <c:axId val="1144534895"/>
        <c:scaling>
          <c:orientation val="minMax"/>
          <c:max val="20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CUSTO</a:t>
                </a:r>
                <a:r>
                  <a:rPr lang="pt-BR" baseline="0"/>
                  <a:t> POR METRO QUADRADO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046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017871201505519"/>
          <c:y val="0.28181792152014062"/>
          <c:w val="0.11988035246996243"/>
          <c:h val="0.41404984707490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aseline="0"/>
              <a:t>ITEM 3 - orçamentos (ÍNDICE = 0,25)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193701702087817E-2"/>
          <c:y val="8.7118457300275481E-2"/>
          <c:w val="0.6627468055461655"/>
          <c:h val="0.76729823648077045"/>
        </c:manualLayout>
      </c:layout>
      <c:scatterChart>
        <c:scatterStyle val="lineMarker"/>
        <c:varyColors val="0"/>
        <c:ser>
          <c:idx val="5"/>
          <c:order val="0"/>
          <c:tx>
            <c:v>R$ 200</c:v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orçamento!$B$8:$B$27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orçamento!$H$8:$H$27</c:f>
              <c:numCache>
                <c:formatCode>General</c:formatCode>
                <c:ptCount val="20"/>
                <c:pt idx="0">
                  <c:v>9.5635249979003696</c:v>
                </c:pt>
                <c:pt idx="1">
                  <c:v>8.1317027297795654</c:v>
                </c:pt>
                <c:pt idx="2">
                  <c:v>7.247796636776954</c:v>
                </c:pt>
                <c:pt idx="3">
                  <c:v>6.6289080346799736</c:v>
                </c:pt>
                <c:pt idx="4">
                  <c:v>6.1626782707323571</c:v>
                </c:pt>
                <c:pt idx="5">
                  <c:v>5.794163949261832</c:v>
                </c:pt>
                <c:pt idx="6">
                  <c:v>5.4928027165305888</c:v>
                </c:pt>
                <c:pt idx="7">
                  <c:v>5.2400205706441518</c:v>
                </c:pt>
                <c:pt idx="8">
                  <c:v>5.0237728630191594</c:v>
                </c:pt>
                <c:pt idx="9">
                  <c:v>4.8358511167626164</c:v>
                </c:pt>
                <c:pt idx="10">
                  <c:v>4.6704367745113435</c:v>
                </c:pt>
                <c:pt idx="11">
                  <c:v>4.5232714852781886</c:v>
                </c:pt>
                <c:pt idx="12">
                  <c:v>4.3911551434867384</c:v>
                </c:pt>
                <c:pt idx="13">
                  <c:v>4.2716286633824083</c:v>
                </c:pt>
                <c:pt idx="14">
                  <c:v>4.1627660370093658</c:v>
                </c:pt>
                <c:pt idx="15">
                  <c:v>4.0630337243689905</c:v>
                </c:pt>
                <c:pt idx="16">
                  <c:v>3.971192993890305</c:v>
                </c:pt>
                <c:pt idx="17">
                  <c:v>3.8862304945629433</c:v>
                </c:pt>
                <c:pt idx="18">
                  <c:v>3.8073078774317568</c:v>
                </c:pt>
                <c:pt idx="19">
                  <c:v>3.7337245707012965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9E-4014-88B1-66B6D7A675DD}"/>
            </c:ext>
          </c:extLst>
        </c:ser>
        <c:ser>
          <c:idx val="4"/>
          <c:order val="1"/>
          <c:tx>
            <c:v>R$ 150</c:v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orçamento!$B$8:$B$27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orçamento!$G$8:$G$27</c:f>
              <c:numCache>
                <c:formatCode>General</c:formatCode>
                <c:ptCount val="20"/>
                <c:pt idx="0">
                  <c:v>7.1726437484252763</c:v>
                </c:pt>
                <c:pt idx="1">
                  <c:v>6.0987770473346741</c:v>
                </c:pt>
                <c:pt idx="2">
                  <c:v>5.4358474775827155</c:v>
                </c:pt>
                <c:pt idx="3">
                  <c:v>4.9716810260099793</c:v>
                </c:pt>
                <c:pt idx="4">
                  <c:v>4.6220087030492678</c:v>
                </c:pt>
                <c:pt idx="5">
                  <c:v>4.3456229619463747</c:v>
                </c:pt>
                <c:pt idx="6">
                  <c:v>4.1196020373979412</c:v>
                </c:pt>
                <c:pt idx="7">
                  <c:v>3.9300154279831139</c:v>
                </c:pt>
                <c:pt idx="8">
                  <c:v>3.76782964726437</c:v>
                </c:pt>
                <c:pt idx="9">
                  <c:v>3.6268883375719625</c:v>
                </c:pt>
                <c:pt idx="10">
                  <c:v>3.5028275808835074</c:v>
                </c:pt>
                <c:pt idx="11">
                  <c:v>3.3924536139586419</c:v>
                </c:pt>
                <c:pt idx="12">
                  <c:v>3.2933663576150538</c:v>
                </c:pt>
                <c:pt idx="13">
                  <c:v>3.2037214975368062</c:v>
                </c:pt>
                <c:pt idx="14">
                  <c:v>3.1220745277570239</c:v>
                </c:pt>
                <c:pt idx="15">
                  <c:v>3.0472752932767433</c:v>
                </c:pt>
                <c:pt idx="16">
                  <c:v>2.9783947454177291</c:v>
                </c:pt>
                <c:pt idx="17">
                  <c:v>2.9146728709222072</c:v>
                </c:pt>
                <c:pt idx="18">
                  <c:v>2.8554809080738175</c:v>
                </c:pt>
                <c:pt idx="19">
                  <c:v>2.8002934280259724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9E-4014-88B1-66B6D7A675DD}"/>
            </c:ext>
          </c:extLst>
        </c:ser>
        <c:ser>
          <c:idx val="3"/>
          <c:order val="2"/>
          <c:tx>
            <c:v>R$ 125</c:v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orçamento!$B$8:$B$27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orçamento!$F$8:$F$27</c:f>
              <c:numCache>
                <c:formatCode>General</c:formatCode>
                <c:ptCount val="20"/>
                <c:pt idx="0">
                  <c:v>5.9772031236877314</c:v>
                </c:pt>
                <c:pt idx="1">
                  <c:v>5.082314206112228</c:v>
                </c:pt>
                <c:pt idx="2">
                  <c:v>4.5298728979855962</c:v>
                </c:pt>
                <c:pt idx="3">
                  <c:v>4.1430675216749826</c:v>
                </c:pt>
                <c:pt idx="4">
                  <c:v>3.8516739192077232</c:v>
                </c:pt>
                <c:pt idx="5">
                  <c:v>3.6213524682886455</c:v>
                </c:pt>
                <c:pt idx="6">
                  <c:v>3.4330016978316173</c:v>
                </c:pt>
                <c:pt idx="7">
                  <c:v>3.2750128566525949</c:v>
                </c:pt>
                <c:pt idx="8">
                  <c:v>3.1398580393869748</c:v>
                </c:pt>
                <c:pt idx="9">
                  <c:v>3.0224069479766351</c:v>
                </c:pt>
                <c:pt idx="10">
                  <c:v>2.9190229840695894</c:v>
                </c:pt>
                <c:pt idx="11">
                  <c:v>2.8270446782988681</c:v>
                </c:pt>
                <c:pt idx="12">
                  <c:v>2.7444719646792115</c:v>
                </c:pt>
                <c:pt idx="13">
                  <c:v>2.6697679146140052</c:v>
                </c:pt>
                <c:pt idx="14">
                  <c:v>2.6017287731308532</c:v>
                </c:pt>
                <c:pt idx="15">
                  <c:v>2.5393960777306193</c:v>
                </c:pt>
                <c:pt idx="16">
                  <c:v>2.4819956211814409</c:v>
                </c:pt>
                <c:pt idx="17">
                  <c:v>2.4288940591018391</c:v>
                </c:pt>
                <c:pt idx="18">
                  <c:v>2.3795674233948478</c:v>
                </c:pt>
                <c:pt idx="19">
                  <c:v>2.3335778566883105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9E-4014-88B1-66B6D7A675DD}"/>
            </c:ext>
          </c:extLst>
        </c:ser>
        <c:ser>
          <c:idx val="2"/>
          <c:order val="3"/>
          <c:tx>
            <c:v>R$ 100</c:v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orçamento!$B$8:$B$27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orçamento!$E$8:$E$27</c:f>
              <c:numCache>
                <c:formatCode>General</c:formatCode>
                <c:ptCount val="20"/>
                <c:pt idx="0">
                  <c:v>4.7817624989501848</c:v>
                </c:pt>
                <c:pt idx="1">
                  <c:v>4.0658513648897827</c:v>
                </c:pt>
                <c:pt idx="2">
                  <c:v>3.623898318388477</c:v>
                </c:pt>
                <c:pt idx="3">
                  <c:v>3.3144540173399868</c:v>
                </c:pt>
                <c:pt idx="4">
                  <c:v>3.0813391353661785</c:v>
                </c:pt>
                <c:pt idx="5">
                  <c:v>2.897081974630916</c:v>
                </c:pt>
                <c:pt idx="6">
                  <c:v>2.7464013582652944</c:v>
                </c:pt>
                <c:pt idx="7">
                  <c:v>2.6200102853220759</c:v>
                </c:pt>
                <c:pt idx="8">
                  <c:v>2.5118864315095797</c:v>
                </c:pt>
                <c:pt idx="9">
                  <c:v>2.4179255583813082</c:v>
                </c:pt>
                <c:pt idx="10">
                  <c:v>2.3352183872556718</c:v>
                </c:pt>
                <c:pt idx="11">
                  <c:v>2.2616357426390943</c:v>
                </c:pt>
                <c:pt idx="12">
                  <c:v>2.1955775717433692</c:v>
                </c:pt>
                <c:pt idx="13">
                  <c:v>2.1358143316912042</c:v>
                </c:pt>
                <c:pt idx="14">
                  <c:v>2.0813830185046829</c:v>
                </c:pt>
                <c:pt idx="15">
                  <c:v>2.0315168621844952</c:v>
                </c:pt>
                <c:pt idx="16">
                  <c:v>1.9855964969451525</c:v>
                </c:pt>
                <c:pt idx="17">
                  <c:v>1.9431152472814717</c:v>
                </c:pt>
                <c:pt idx="18">
                  <c:v>1.9036539387158784</c:v>
                </c:pt>
                <c:pt idx="19">
                  <c:v>1.8668622853506482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9E-4014-88B1-66B6D7A675DD}"/>
            </c:ext>
          </c:extLst>
        </c:ser>
        <c:ser>
          <c:idx val="1"/>
          <c:order val="4"/>
          <c:tx>
            <c:v>R$ 75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orçamento!$B$8:$B$27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orçamento!$D$8:$D$27</c:f>
              <c:numCache>
                <c:formatCode>General</c:formatCode>
                <c:ptCount val="20"/>
                <c:pt idx="0">
                  <c:v>3.5863218742126381</c:v>
                </c:pt>
                <c:pt idx="1">
                  <c:v>3.049388523667337</c:v>
                </c:pt>
                <c:pt idx="2">
                  <c:v>2.7179237387913577</c:v>
                </c:pt>
                <c:pt idx="3">
                  <c:v>2.4858405130049896</c:v>
                </c:pt>
                <c:pt idx="4">
                  <c:v>2.3110043515246339</c:v>
                </c:pt>
                <c:pt idx="5">
                  <c:v>2.1728114809731873</c:v>
                </c:pt>
                <c:pt idx="6">
                  <c:v>2.0598010186989706</c:v>
                </c:pt>
                <c:pt idx="7">
                  <c:v>1.9650077139915569</c:v>
                </c:pt>
                <c:pt idx="8">
                  <c:v>1.883914823632185</c:v>
                </c:pt>
                <c:pt idx="9">
                  <c:v>1.8134441687859812</c:v>
                </c:pt>
                <c:pt idx="10">
                  <c:v>1.7514137904417537</c:v>
                </c:pt>
                <c:pt idx="11">
                  <c:v>1.6962268069793209</c:v>
                </c:pt>
                <c:pt idx="12">
                  <c:v>1.6466831788075269</c:v>
                </c:pt>
                <c:pt idx="13">
                  <c:v>1.6018607487684031</c:v>
                </c:pt>
                <c:pt idx="14">
                  <c:v>1.5610372638785119</c:v>
                </c:pt>
                <c:pt idx="15">
                  <c:v>1.5236376466383716</c:v>
                </c:pt>
                <c:pt idx="16">
                  <c:v>1.4891973727088645</c:v>
                </c:pt>
                <c:pt idx="17">
                  <c:v>1.4573364354611036</c:v>
                </c:pt>
                <c:pt idx="18">
                  <c:v>1.4277404540369087</c:v>
                </c:pt>
                <c:pt idx="19">
                  <c:v>1.4001467140129862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9E-4014-88B1-66B6D7A675DD}"/>
            </c:ext>
          </c:extLst>
        </c:ser>
        <c:ser>
          <c:idx val="0"/>
          <c:order val="5"/>
          <c:tx>
            <c:v>R$ 50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orçamento!$B$8:$B$27</c:f>
              <c:numCache>
                <c:formatCode>General</c:formatCode>
                <c:ptCount val="20"/>
                <c:pt idx="0">
                  <c:v>500</c:v>
                </c:pt>
                <c:pt idx="1">
                  <c:v>750</c:v>
                </c:pt>
                <c:pt idx="2">
                  <c:v>1000</c:v>
                </c:pt>
                <c:pt idx="3">
                  <c:v>1250</c:v>
                </c:pt>
                <c:pt idx="4">
                  <c:v>1500</c:v>
                </c:pt>
                <c:pt idx="5">
                  <c:v>1750</c:v>
                </c:pt>
                <c:pt idx="6">
                  <c:v>2000</c:v>
                </c:pt>
                <c:pt idx="7">
                  <c:v>2250</c:v>
                </c:pt>
                <c:pt idx="8">
                  <c:v>2500</c:v>
                </c:pt>
                <c:pt idx="9">
                  <c:v>2750</c:v>
                </c:pt>
                <c:pt idx="10">
                  <c:v>3000</c:v>
                </c:pt>
                <c:pt idx="11">
                  <c:v>3250</c:v>
                </c:pt>
                <c:pt idx="12">
                  <c:v>3500</c:v>
                </c:pt>
                <c:pt idx="13">
                  <c:v>3750</c:v>
                </c:pt>
                <c:pt idx="14">
                  <c:v>4000</c:v>
                </c:pt>
                <c:pt idx="15">
                  <c:v>4250</c:v>
                </c:pt>
                <c:pt idx="16">
                  <c:v>4500</c:v>
                </c:pt>
                <c:pt idx="17">
                  <c:v>4750</c:v>
                </c:pt>
                <c:pt idx="18">
                  <c:v>5000</c:v>
                </c:pt>
                <c:pt idx="19">
                  <c:v>5250</c:v>
                </c:pt>
              </c:numCache>
            </c:numRef>
          </c:xVal>
          <c:yVal>
            <c:numRef>
              <c:f>orçamento!$C$8:$C$27</c:f>
              <c:numCache>
                <c:formatCode>General</c:formatCode>
                <c:ptCount val="20"/>
                <c:pt idx="0">
                  <c:v>2.3908812494750924</c:v>
                </c:pt>
                <c:pt idx="1">
                  <c:v>2.0329256824448914</c:v>
                </c:pt>
                <c:pt idx="2">
                  <c:v>1.8119491591942385</c:v>
                </c:pt>
                <c:pt idx="3">
                  <c:v>1.6572270086699934</c:v>
                </c:pt>
                <c:pt idx="4">
                  <c:v>1.5406695676830893</c:v>
                </c:pt>
                <c:pt idx="5">
                  <c:v>1.448540987315458</c:v>
                </c:pt>
                <c:pt idx="6">
                  <c:v>1.3732006791326472</c:v>
                </c:pt>
                <c:pt idx="7">
                  <c:v>1.310005142661038</c:v>
                </c:pt>
                <c:pt idx="8">
                  <c:v>1.2559432157547898</c:v>
                </c:pt>
                <c:pt idx="9">
                  <c:v>1.2089627791906541</c:v>
                </c:pt>
                <c:pt idx="10">
                  <c:v>1.1676091936278359</c:v>
                </c:pt>
                <c:pt idx="11">
                  <c:v>1.1308178713195471</c:v>
                </c:pt>
                <c:pt idx="12">
                  <c:v>1.0977887858716846</c:v>
                </c:pt>
                <c:pt idx="13">
                  <c:v>1.0679071658456021</c:v>
                </c:pt>
                <c:pt idx="14">
                  <c:v>1.0406915092523414</c:v>
                </c:pt>
                <c:pt idx="15">
                  <c:v>1.0157584310922476</c:v>
                </c:pt>
                <c:pt idx="16">
                  <c:v>0.99279824847257625</c:v>
                </c:pt>
                <c:pt idx="17">
                  <c:v>0.97155762364073583</c:v>
                </c:pt>
                <c:pt idx="18">
                  <c:v>0.9518269693579392</c:v>
                </c:pt>
                <c:pt idx="19">
                  <c:v>0.93343114267532412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9E-4014-88B1-66B6D7A67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1046223"/>
        <c:axId val="1144534895"/>
      </c:scatterChart>
      <c:valAx>
        <c:axId val="12410462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ÁREA EQUIVALENTE</a:t>
                </a:r>
                <a:r>
                  <a:rPr lang="pt-BR" baseline="0"/>
                  <a:t> DE PROJETO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4534895"/>
        <c:crosses val="autoZero"/>
        <c:crossBetween val="midCat"/>
      </c:valAx>
      <c:valAx>
        <c:axId val="114453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CUSTO</a:t>
                </a:r>
                <a:r>
                  <a:rPr lang="pt-BR" baseline="0"/>
                  <a:t> POR METRO QUADRADO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04622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017871201505519"/>
          <c:y val="0.28181792152014062"/>
          <c:w val="0.11988035246996243"/>
          <c:h val="0.41404984707490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1120587</xdr:colOff>
      <xdr:row>14</xdr:row>
      <xdr:rowOff>145676</xdr:rowOff>
    </xdr:from>
    <xdr:ext cx="5591736" cy="28575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26E793B-E3C9-44B5-A7E0-010F826727DD}"/>
            </a:ext>
          </a:extLst>
        </xdr:cNvPr>
        <xdr:cNvSpPr txBox="1"/>
      </xdr:nvSpPr>
      <xdr:spPr>
        <a:xfrm>
          <a:off x="10578352" y="2835088"/>
          <a:ext cx="5591736" cy="2857500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/>
            <a:t>ATENÇÃO</a:t>
          </a:r>
        </a:p>
        <a:p>
          <a:r>
            <a:rPr lang="pt-BR" sz="1600" b="1"/>
            <a:t>AS</a:t>
          </a:r>
          <a:r>
            <a:rPr lang="pt-BR" sz="1600" b="1" baseline="0"/>
            <a:t> ÁREAS E CUSTOS FINAIS DESTA TABELA SÃO MERAMENTE ILUSTRATIVOS A PARTIR DE UMA ÁREA DE TERRENO MÉDIA E CONSTRUÍDA MÉDIA E PROJETOS MAIS COMUMENTE SOLICITADO</a:t>
          </a:r>
        </a:p>
        <a:p>
          <a:endParaRPr lang="pt-BR" sz="1600" b="1" baseline="0"/>
        </a:p>
        <a:p>
          <a:r>
            <a:rPr lang="pt-BR" sz="1600" b="1" baseline="0"/>
            <a:t>NOS CASOS CONCRETOS, QUANDO HOUVER DEMANDA, SERÃO EMPREGADAS AS ÁREAS REAIS E OS ÍNDICES DESTA PLANILHA CORRESPONDENTES AOS SERVIÇOS CONTRATADOS E A FÓRMULA DO ITEM 4 DO ESTUDO TÉCNICO / TERMO DE REFERENCIA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</xdr:row>
      <xdr:rowOff>180975</xdr:rowOff>
    </xdr:from>
    <xdr:to>
      <xdr:col>10</xdr:col>
      <xdr:colOff>361950</xdr:colOff>
      <xdr:row>31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469B515-03D6-4053-AD75-72CFAB609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1</xdr:row>
      <xdr:rowOff>19050</xdr:rowOff>
    </xdr:from>
    <xdr:to>
      <xdr:col>10</xdr:col>
      <xdr:colOff>200025</xdr:colOff>
      <xdr:row>33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F01D79D-2D3E-4A78-8251-86A3823DB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</xdr:row>
      <xdr:rowOff>152400</xdr:rowOff>
    </xdr:from>
    <xdr:to>
      <xdr:col>9</xdr:col>
      <xdr:colOff>476250</xdr:colOff>
      <xdr:row>32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4EF15C-FF93-4926-A502-796CC52CF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TP%20-%20Estudos%20e%20Projetos%20-%20Anexo%20B%20-%20Planilha%20forma&#231;&#227;o%20de%20pre&#231;os%20-%20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B1-Sintético"/>
      <sheetName val="Planilha1"/>
      <sheetName val="B2-Composições"/>
      <sheetName val="B3-Resumo"/>
      <sheetName val="B4a-Fator-K"/>
      <sheetName val="B4b-Det. K1"/>
      <sheetName val="B4c-Det. K2 e K3"/>
      <sheetName val="B4d-EC"/>
    </sheetNames>
    <sheetDataSet>
      <sheetData sheetId="0"/>
      <sheetData sheetId="1">
        <row r="8">
          <cell r="F8">
            <v>156.40688786301371</v>
          </cell>
        </row>
        <row r="9">
          <cell r="F9">
            <v>215.7455076164384</v>
          </cell>
        </row>
        <row r="10">
          <cell r="F10">
            <v>211.69277506849318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22"/>
  <sheetViews>
    <sheetView showGridLines="0" tabSelected="1" view="pageBreakPreview" zoomScale="85" zoomScaleNormal="70" zoomScaleSheetLayoutView="85" workbookViewId="0"/>
  </sheetViews>
  <sheetFormatPr defaultRowHeight="14.25"/>
  <cols>
    <col min="1" max="1" width="5.42578125" style="23" customWidth="1"/>
    <col min="2" max="2" width="11.42578125" style="23" customWidth="1"/>
    <col min="3" max="3" width="69.140625" style="23" customWidth="1"/>
    <col min="4" max="4" width="20.28515625" style="23" customWidth="1"/>
    <col min="5" max="5" width="20.7109375" style="23" customWidth="1"/>
    <col min="6" max="6" width="15" style="23" customWidth="1"/>
    <col min="7" max="8" width="17" style="23" customWidth="1"/>
    <col min="9" max="9" width="23.140625" style="23" customWidth="1"/>
    <col min="10" max="10" width="20.28515625" style="23" customWidth="1"/>
    <col min="11" max="11" width="12.5703125" style="23" customWidth="1"/>
    <col min="12" max="12" width="19.85546875" style="23" customWidth="1"/>
    <col min="13" max="13" width="10" style="23" bestFit="1" customWidth="1"/>
    <col min="14" max="14" width="15" style="23" bestFit="1" customWidth="1"/>
    <col min="15" max="16384" width="9.140625" style="23"/>
  </cols>
  <sheetData>
    <row r="1" spans="2:14" ht="18">
      <c r="B1" s="13" t="s">
        <v>82</v>
      </c>
    </row>
    <row r="2" spans="2:14" ht="18">
      <c r="B2" s="13" t="s">
        <v>211</v>
      </c>
    </row>
    <row r="3" spans="2:14" ht="15">
      <c r="B3" s="73" t="s">
        <v>242</v>
      </c>
      <c r="C3" s="61"/>
    </row>
    <row r="4" spans="2:14" ht="15">
      <c r="B4" s="73" t="s">
        <v>236</v>
      </c>
      <c r="C4" s="61"/>
    </row>
    <row r="5" spans="2:14" ht="15">
      <c r="B5" s="73" t="s">
        <v>243</v>
      </c>
      <c r="C5" s="61"/>
    </row>
    <row r="6" spans="2:14" ht="15">
      <c r="B6" s="73" t="s">
        <v>240</v>
      </c>
      <c r="C6" s="61"/>
    </row>
    <row r="7" spans="2:14" ht="15">
      <c r="B7" s="73" t="s">
        <v>241</v>
      </c>
      <c r="C7" s="61"/>
    </row>
    <row r="8" spans="2:14" ht="15">
      <c r="B8" s="11" t="s">
        <v>81</v>
      </c>
      <c r="C8" s="11" t="s">
        <v>207</v>
      </c>
      <c r="D8" s="11" t="s">
        <v>80</v>
      </c>
    </row>
    <row r="9" spans="2:14">
      <c r="B9" s="69" t="s">
        <v>216</v>
      </c>
      <c r="C9" s="69" t="s">
        <v>213</v>
      </c>
      <c r="D9" s="58">
        <f>'[1]B1-Sintético'!F8</f>
        <v>156.40688786301371</v>
      </c>
      <c r="H9" s="45"/>
    </row>
    <row r="10" spans="2:14">
      <c r="B10" s="69" t="s">
        <v>216</v>
      </c>
      <c r="C10" s="69" t="s">
        <v>214</v>
      </c>
      <c r="D10" s="58">
        <f>'[1]B1-Sintético'!F9</f>
        <v>215.7455076164384</v>
      </c>
    </row>
    <row r="11" spans="2:14">
      <c r="B11" s="69" t="s">
        <v>217</v>
      </c>
      <c r="C11" s="69" t="s">
        <v>215</v>
      </c>
      <c r="D11" s="58">
        <f>'[1]B1-Sintético'!F10</f>
        <v>211.69277506849318</v>
      </c>
    </row>
    <row r="13" spans="2:14" ht="15">
      <c r="B13" s="12" t="s">
        <v>91</v>
      </c>
      <c r="C13" s="12" t="s">
        <v>74</v>
      </c>
      <c r="D13" s="12"/>
      <c r="E13" s="12" t="s">
        <v>73</v>
      </c>
      <c r="F13" s="12" t="s">
        <v>72</v>
      </c>
      <c r="H13" s="23" t="s">
        <v>204</v>
      </c>
    </row>
    <row r="14" spans="2:14" ht="15">
      <c r="B14" s="75" t="s">
        <v>85</v>
      </c>
      <c r="C14" s="76"/>
      <c r="D14" s="76"/>
      <c r="E14" s="76"/>
      <c r="F14" s="77"/>
      <c r="H14" s="60"/>
      <c r="I14" s="23" t="s">
        <v>205</v>
      </c>
    </row>
    <row r="15" spans="2:14">
      <c r="B15" s="19" t="s">
        <v>38</v>
      </c>
      <c r="C15" s="21" t="s">
        <v>87</v>
      </c>
      <c r="D15" s="21"/>
      <c r="E15" s="19" t="s">
        <v>63</v>
      </c>
      <c r="F15" s="56">
        <v>2000</v>
      </c>
    </row>
    <row r="16" spans="2:14">
      <c r="B16" s="19" t="s">
        <v>71</v>
      </c>
      <c r="C16" s="21" t="s">
        <v>86</v>
      </c>
      <c r="D16" s="21"/>
      <c r="E16" s="19" t="s">
        <v>63</v>
      </c>
      <c r="F16" s="56">
        <v>500</v>
      </c>
      <c r="M16" s="23">
        <f>MATCH(C28,Customização!A5:A10,0)</f>
        <v>1</v>
      </c>
      <c r="N16" s="52" t="s">
        <v>201</v>
      </c>
    </row>
    <row r="18" spans="2:12" ht="15">
      <c r="B18" s="75" t="s">
        <v>88</v>
      </c>
      <c r="C18" s="76"/>
      <c r="D18" s="76"/>
      <c r="E18" s="76"/>
      <c r="F18" s="77"/>
    </row>
    <row r="19" spans="2:12">
      <c r="B19" s="19" t="s">
        <v>70</v>
      </c>
      <c r="C19" s="21" t="s">
        <v>69</v>
      </c>
      <c r="D19" s="44" t="s">
        <v>175</v>
      </c>
      <c r="E19" s="25">
        <v>1</v>
      </c>
      <c r="F19" s="56">
        <v>700</v>
      </c>
    </row>
    <row r="20" spans="2:12">
      <c r="B20" s="19" t="s">
        <v>68</v>
      </c>
      <c r="C20" s="21" t="s">
        <v>67</v>
      </c>
      <c r="D20" s="44" t="s">
        <v>176</v>
      </c>
      <c r="E20" s="25">
        <v>0.5</v>
      </c>
      <c r="F20" s="56">
        <v>0</v>
      </c>
    </row>
    <row r="21" spans="2:12" ht="28.5">
      <c r="B21" s="19" t="s">
        <v>41</v>
      </c>
      <c r="C21" s="22" t="s">
        <v>174</v>
      </c>
      <c r="D21" s="44" t="s">
        <v>177</v>
      </c>
      <c r="E21" s="25">
        <v>0.2</v>
      </c>
      <c r="F21" s="56">
        <v>0</v>
      </c>
    </row>
    <row r="22" spans="2:12">
      <c r="B22" s="19" t="s">
        <v>64</v>
      </c>
      <c r="C22" s="21" t="s">
        <v>90</v>
      </c>
      <c r="D22" s="44"/>
      <c r="E22" s="19" t="s">
        <v>63</v>
      </c>
      <c r="F22" s="26" t="s">
        <v>62</v>
      </c>
    </row>
    <row r="23" spans="2:12" ht="15">
      <c r="B23" s="75" t="s">
        <v>89</v>
      </c>
      <c r="C23" s="76"/>
      <c r="D23" s="76"/>
      <c r="E23" s="76"/>
      <c r="F23" s="77"/>
    </row>
    <row r="24" spans="2:12">
      <c r="B24" s="19" t="s">
        <v>34</v>
      </c>
      <c r="C24" s="21" t="s">
        <v>66</v>
      </c>
      <c r="D24" s="69" t="s">
        <v>226</v>
      </c>
      <c r="E24" s="19" t="s">
        <v>63</v>
      </c>
      <c r="F24" s="26">
        <f>APD+APT+AGR</f>
        <v>700</v>
      </c>
    </row>
    <row r="25" spans="2:12">
      <c r="B25" s="19" t="s">
        <v>5</v>
      </c>
      <c r="C25" s="21" t="s">
        <v>65</v>
      </c>
      <c r="D25" s="21" t="s">
        <v>84</v>
      </c>
      <c r="E25" s="19" t="s">
        <v>63</v>
      </c>
      <c r="F25" s="26">
        <f>SUMPRODUCT(E19:E21,F19:F21)</f>
        <v>700</v>
      </c>
    </row>
    <row r="26" spans="2:12" ht="15" thickBot="1"/>
    <row r="27" spans="2:12" ht="15.75" thickBot="1">
      <c r="C27" s="49" t="s">
        <v>193</v>
      </c>
      <c r="D27" s="48"/>
    </row>
    <row r="28" spans="2:12">
      <c r="C28" s="57" t="s">
        <v>184</v>
      </c>
      <c r="D28" s="59" t="str">
        <f>VLOOKUP(C28,Customização!$A$5:$B$13,2,FALSE)</f>
        <v>C.1</v>
      </c>
    </row>
    <row r="29" spans="2:12" ht="15.75" thickBot="1">
      <c r="C29" s="50" t="s">
        <v>194</v>
      </c>
      <c r="D29" s="48"/>
    </row>
    <row r="31" spans="2:12" ht="30">
      <c r="B31" s="11" t="s">
        <v>61</v>
      </c>
      <c r="C31" s="11" t="s">
        <v>60</v>
      </c>
      <c r="D31" s="10" t="s">
        <v>181</v>
      </c>
      <c r="E31" s="10" t="s">
        <v>59</v>
      </c>
      <c r="F31" s="11" t="s">
        <v>58</v>
      </c>
      <c r="G31" s="11" t="s">
        <v>57</v>
      </c>
      <c r="H31" s="11" t="s">
        <v>56</v>
      </c>
      <c r="I31" s="10" t="s">
        <v>55</v>
      </c>
      <c r="J31" s="10" t="s">
        <v>54</v>
      </c>
      <c r="K31" s="10" t="s">
        <v>53</v>
      </c>
      <c r="L31" s="10" t="s">
        <v>182</v>
      </c>
    </row>
    <row r="32" spans="2:12" ht="15">
      <c r="B32" s="11"/>
      <c r="C32" s="15" t="s">
        <v>218</v>
      </c>
      <c r="D32" s="10"/>
      <c r="E32" s="10"/>
      <c r="F32" s="11"/>
      <c r="G32" s="11"/>
      <c r="H32" s="11"/>
      <c r="I32" s="10"/>
      <c r="J32" s="10"/>
      <c r="K32" s="10"/>
      <c r="L32" s="10"/>
    </row>
    <row r="33" spans="2:17" ht="15">
      <c r="B33" s="14" t="s">
        <v>79</v>
      </c>
      <c r="C33" s="15" t="s">
        <v>219</v>
      </c>
      <c r="D33" s="14"/>
      <c r="E33" s="14"/>
      <c r="F33" s="16"/>
      <c r="G33" s="14"/>
      <c r="H33" s="14"/>
      <c r="I33" s="17">
        <f>I34</f>
        <v>2405.5140999065593</v>
      </c>
      <c r="J33" s="62">
        <f>J34</f>
        <v>15.379847606285649</v>
      </c>
      <c r="K33" s="18">
        <f>IF(CUSTO_TOTAL&gt;0,I33/$I$117,0)</f>
        <v>2.074257072640168E-2</v>
      </c>
      <c r="L33" s="17">
        <f>L34</f>
        <v>1.2027570499532796</v>
      </c>
    </row>
    <row r="34" spans="2:17" ht="43.5">
      <c r="B34" s="20" t="s">
        <v>52</v>
      </c>
      <c r="C34" s="22" t="s">
        <v>166</v>
      </c>
      <c r="D34" s="19" t="str">
        <f>HLOOKUP(B34,Customização!$C$4:$BD$19,TAB.REMUNERAÇÃO!$M$16+1,FALSE)</f>
        <v>SIM</v>
      </c>
      <c r="E34" s="27" t="s">
        <v>168</v>
      </c>
      <c r="F34" s="28">
        <v>7.0000000000000007E-2</v>
      </c>
      <c r="G34" s="36">
        <f>ATE</f>
        <v>2000</v>
      </c>
      <c r="H34" s="29">
        <f>$D$9</f>
        <v>156.40688786301371</v>
      </c>
      <c r="I34" s="29">
        <f>IF(AND(G34&gt;0,D34="SIM"),F34*(8/G34)^0.4*G34*H34,0)</f>
        <v>2405.5140999065593</v>
      </c>
      <c r="J34" s="63">
        <f>I34/H34</f>
        <v>15.379847606285649</v>
      </c>
      <c r="K34" s="9">
        <f>IF(CUSTO_TOTAL&gt;0,I34/$I$117,0)</f>
        <v>2.074257072640168E-2</v>
      </c>
      <c r="L34" s="8">
        <f t="shared" ref="L34" si="0">IF(G34&gt;0,I34/G34,0)</f>
        <v>1.2027570499532796</v>
      </c>
      <c r="M34" s="30"/>
    </row>
    <row r="35" spans="2:17" ht="15">
      <c r="B35" s="21"/>
      <c r="C35" s="22"/>
      <c r="D35" s="19"/>
      <c r="E35" s="19"/>
      <c r="F35" s="28"/>
      <c r="G35" s="31"/>
      <c r="H35" s="31"/>
      <c r="I35" s="29"/>
      <c r="J35" s="63"/>
      <c r="K35" s="9"/>
      <c r="L35" s="8"/>
    </row>
    <row r="36" spans="2:17" ht="15">
      <c r="B36" s="14" t="s">
        <v>78</v>
      </c>
      <c r="C36" s="15" t="s">
        <v>220</v>
      </c>
      <c r="D36" s="14"/>
      <c r="E36" s="14"/>
      <c r="F36" s="16"/>
      <c r="G36" s="14"/>
      <c r="H36" s="14"/>
      <c r="I36" s="17">
        <f>I37</f>
        <v>3739.5029548043285</v>
      </c>
      <c r="J36" s="62">
        <f>J37</f>
        <v>23.908812494750922</v>
      </c>
      <c r="K36" s="18">
        <f>IF(CUSTO_TOTAL&gt;0,I36/$I$117,0)</f>
        <v>3.2245458267997636E-2</v>
      </c>
      <c r="L36" s="17">
        <f>L37</f>
        <v>7.4790059096086567</v>
      </c>
    </row>
    <row r="37" spans="2:17" ht="43.5">
      <c r="B37" s="20" t="s">
        <v>104</v>
      </c>
      <c r="C37" s="22" t="s">
        <v>51</v>
      </c>
      <c r="D37" s="19" t="str">
        <f>HLOOKUP(B37,Customização!$C$4:$BD$10,TAB.REMUNERAÇÃO!$M$16+1,FALSE)</f>
        <v>SIM</v>
      </c>
      <c r="E37" s="27" t="s">
        <v>169</v>
      </c>
      <c r="F37" s="28">
        <v>0.25</v>
      </c>
      <c r="G37" s="36">
        <f>APR</f>
        <v>500</v>
      </c>
      <c r="H37" s="29">
        <f>$D$9</f>
        <v>156.40688786301371</v>
      </c>
      <c r="I37" s="29">
        <f>IF(AND(G37&gt;0,D37="SIM"),F37*(8/G37)^0.4*G37*H37,0)</f>
        <v>3739.5029548043285</v>
      </c>
      <c r="J37" s="63">
        <f>I37/H37</f>
        <v>23.908812494750922</v>
      </c>
      <c r="K37" s="9">
        <f>IF(CUSTO_TOTAL&gt;0,I37/$I$117,0)</f>
        <v>3.2245458267997636E-2</v>
      </c>
      <c r="L37" s="8">
        <f t="shared" ref="L37" si="1">IF(G37&gt;0,I37/G37,0)</f>
        <v>7.4790059096086567</v>
      </c>
    </row>
    <row r="38" spans="2:17" ht="15">
      <c r="B38" s="21"/>
      <c r="C38" s="22"/>
      <c r="D38" s="19"/>
      <c r="E38" s="19"/>
      <c r="F38" s="28"/>
      <c r="G38" s="31"/>
      <c r="H38" s="31"/>
      <c r="I38" s="29"/>
      <c r="J38" s="63"/>
      <c r="K38" s="9"/>
      <c r="L38" s="8"/>
    </row>
    <row r="39" spans="2:17" ht="15">
      <c r="B39" s="14" t="s">
        <v>77</v>
      </c>
      <c r="C39" s="15" t="s">
        <v>221</v>
      </c>
      <c r="D39" s="14"/>
      <c r="E39" s="14"/>
      <c r="F39" s="16"/>
      <c r="G39" s="14"/>
      <c r="H39" s="14"/>
      <c r="I39" s="17">
        <f>SUM(I40:I48)</f>
        <v>12512.551029041097</v>
      </c>
      <c r="J39" s="62">
        <f>SUM(J40:J48)</f>
        <v>200</v>
      </c>
      <c r="K39" s="18">
        <f t="shared" ref="K39:K48" si="2">IF(CUSTO_TOTAL&gt;0,I39/$I$117,0)</f>
        <v>0.10789480498063879</v>
      </c>
      <c r="L39" s="17">
        <f>SUM(L40:L48)</f>
        <v>17.875072898630137</v>
      </c>
    </row>
    <row r="40" spans="2:17" ht="15">
      <c r="B40" s="20" t="s">
        <v>50</v>
      </c>
      <c r="C40" s="32" t="s">
        <v>133</v>
      </c>
      <c r="D40" s="68" t="s">
        <v>173</v>
      </c>
      <c r="E40" s="20" t="s">
        <v>145</v>
      </c>
      <c r="F40" s="33" t="s">
        <v>144</v>
      </c>
      <c r="G40" s="31" t="s">
        <v>144</v>
      </c>
      <c r="H40" s="29">
        <f t="shared" ref="H40:H48" si="3">$D$9</f>
        <v>156.40688786301371</v>
      </c>
      <c r="I40" s="29">
        <f>IF(AND(G40&gt;0,D40="SIM"),J40*H40,0)</f>
        <v>0</v>
      </c>
      <c r="J40" s="63">
        <v>10</v>
      </c>
      <c r="K40" s="9">
        <f t="shared" si="2"/>
        <v>0</v>
      </c>
      <c r="L40" s="8">
        <f t="shared" ref="L40:L48" si="4">I40/AAP</f>
        <v>0</v>
      </c>
      <c r="N40" s="74"/>
      <c r="O40"/>
      <c r="P40"/>
      <c r="Q40"/>
    </row>
    <row r="41" spans="2:17" ht="15">
      <c r="B41" s="20" t="s">
        <v>134</v>
      </c>
      <c r="C41" s="32" t="s">
        <v>132</v>
      </c>
      <c r="D41" s="68" t="s">
        <v>172</v>
      </c>
      <c r="E41" s="20" t="s">
        <v>145</v>
      </c>
      <c r="F41" s="33" t="s">
        <v>144</v>
      </c>
      <c r="G41" s="31" t="s">
        <v>144</v>
      </c>
      <c r="H41" s="29">
        <f t="shared" si="3"/>
        <v>156.40688786301371</v>
      </c>
      <c r="I41" s="29">
        <f t="shared" ref="I41:I48" si="5">IF(AND(G41&gt;0,D41="SIM"),J41*H41,0)</f>
        <v>3128.1377572602742</v>
      </c>
      <c r="J41" s="63">
        <v>20</v>
      </c>
      <c r="K41" s="9">
        <f t="shared" si="2"/>
        <v>2.6973701245159697E-2</v>
      </c>
      <c r="L41" s="8">
        <f t="shared" si="4"/>
        <v>4.4687682246575342</v>
      </c>
      <c r="N41" s="74"/>
      <c r="O41"/>
      <c r="P41"/>
      <c r="Q41"/>
    </row>
    <row r="42" spans="2:17" ht="15">
      <c r="B42" s="20" t="s">
        <v>135</v>
      </c>
      <c r="C42" s="32" t="s">
        <v>143</v>
      </c>
      <c r="D42" s="68" t="s">
        <v>173</v>
      </c>
      <c r="E42" s="20" t="s">
        <v>145</v>
      </c>
      <c r="F42" s="33" t="s">
        <v>144</v>
      </c>
      <c r="G42" s="31" t="s">
        <v>144</v>
      </c>
      <c r="H42" s="29">
        <f t="shared" si="3"/>
        <v>156.40688786301371</v>
      </c>
      <c r="I42" s="29">
        <f t="shared" si="5"/>
        <v>0</v>
      </c>
      <c r="J42" s="63">
        <v>20</v>
      </c>
      <c r="K42" s="9">
        <f t="shared" si="2"/>
        <v>0</v>
      </c>
      <c r="L42" s="8">
        <f t="shared" si="4"/>
        <v>0</v>
      </c>
      <c r="N42" s="74"/>
      <c r="O42"/>
      <c r="P42"/>
      <c r="Q42"/>
    </row>
    <row r="43" spans="2:17" ht="15">
      <c r="B43" s="20" t="s">
        <v>136</v>
      </c>
      <c r="C43" s="32" t="s">
        <v>140</v>
      </c>
      <c r="D43" s="68" t="s">
        <v>173</v>
      </c>
      <c r="E43" s="20" t="s">
        <v>145</v>
      </c>
      <c r="F43" s="33" t="s">
        <v>144</v>
      </c>
      <c r="G43" s="31" t="s">
        <v>144</v>
      </c>
      <c r="H43" s="29">
        <f t="shared" si="3"/>
        <v>156.40688786301371</v>
      </c>
      <c r="I43" s="29">
        <f t="shared" si="5"/>
        <v>0</v>
      </c>
      <c r="J43" s="63">
        <v>10</v>
      </c>
      <c r="K43" s="9">
        <f t="shared" si="2"/>
        <v>0</v>
      </c>
      <c r="L43" s="8">
        <f t="shared" si="4"/>
        <v>0</v>
      </c>
      <c r="N43" s="74"/>
      <c r="O43"/>
      <c r="P43"/>
      <c r="Q43"/>
    </row>
    <row r="44" spans="2:17" ht="15">
      <c r="B44" s="20" t="s">
        <v>137</v>
      </c>
      <c r="C44" s="32" t="s">
        <v>130</v>
      </c>
      <c r="D44" s="68" t="s">
        <v>173</v>
      </c>
      <c r="E44" s="20" t="s">
        <v>145</v>
      </c>
      <c r="F44" s="33" t="s">
        <v>144</v>
      </c>
      <c r="G44" s="31" t="s">
        <v>144</v>
      </c>
      <c r="H44" s="29">
        <f t="shared" si="3"/>
        <v>156.40688786301371</v>
      </c>
      <c r="I44" s="29">
        <f t="shared" si="5"/>
        <v>0</v>
      </c>
      <c r="J44" s="63">
        <v>40</v>
      </c>
      <c r="K44" s="9">
        <f t="shared" si="2"/>
        <v>0</v>
      </c>
      <c r="L44" s="8">
        <f t="shared" si="4"/>
        <v>0</v>
      </c>
      <c r="N44" s="74"/>
      <c r="O44"/>
      <c r="P44"/>
      <c r="Q44"/>
    </row>
    <row r="45" spans="2:17" ht="15">
      <c r="B45" s="20" t="s">
        <v>138</v>
      </c>
      <c r="C45" s="32" t="s">
        <v>131</v>
      </c>
      <c r="D45" s="68" t="s">
        <v>173</v>
      </c>
      <c r="E45" s="20" t="s">
        <v>145</v>
      </c>
      <c r="F45" s="33" t="s">
        <v>144</v>
      </c>
      <c r="G45" s="31" t="s">
        <v>144</v>
      </c>
      <c r="H45" s="29">
        <f t="shared" si="3"/>
        <v>156.40688786301371</v>
      </c>
      <c r="I45" s="29">
        <f t="shared" si="5"/>
        <v>0</v>
      </c>
      <c r="J45" s="63">
        <v>30</v>
      </c>
      <c r="K45" s="9">
        <f t="shared" si="2"/>
        <v>0</v>
      </c>
      <c r="L45" s="8">
        <f t="shared" si="4"/>
        <v>0</v>
      </c>
      <c r="N45" s="74"/>
      <c r="O45"/>
      <c r="P45"/>
      <c r="Q45"/>
    </row>
    <row r="46" spans="2:17" ht="15">
      <c r="B46" s="20" t="s">
        <v>139</v>
      </c>
      <c r="C46" s="32" t="s">
        <v>127</v>
      </c>
      <c r="D46" s="68" t="s">
        <v>173</v>
      </c>
      <c r="E46" s="20" t="s">
        <v>145</v>
      </c>
      <c r="F46" s="33" t="s">
        <v>144</v>
      </c>
      <c r="G46" s="31" t="s">
        <v>144</v>
      </c>
      <c r="H46" s="29">
        <f t="shared" si="3"/>
        <v>156.40688786301371</v>
      </c>
      <c r="I46" s="29">
        <f t="shared" si="5"/>
        <v>0</v>
      </c>
      <c r="J46" s="63">
        <v>10</v>
      </c>
      <c r="K46" s="9">
        <f t="shared" si="2"/>
        <v>0</v>
      </c>
      <c r="L46" s="8">
        <f t="shared" si="4"/>
        <v>0</v>
      </c>
      <c r="N46" s="74"/>
      <c r="O46"/>
      <c r="P46"/>
      <c r="Q46"/>
    </row>
    <row r="47" spans="2:17" ht="15">
      <c r="B47" s="20" t="s">
        <v>141</v>
      </c>
      <c r="C47" s="32" t="s">
        <v>128</v>
      </c>
      <c r="D47" s="68" t="s">
        <v>172</v>
      </c>
      <c r="E47" s="20" t="s">
        <v>145</v>
      </c>
      <c r="F47" s="33" t="s">
        <v>144</v>
      </c>
      <c r="G47" s="31" t="s">
        <v>144</v>
      </c>
      <c r="H47" s="29">
        <f t="shared" si="3"/>
        <v>156.40688786301371</v>
      </c>
      <c r="I47" s="29">
        <f t="shared" si="5"/>
        <v>3128.1377572602742</v>
      </c>
      <c r="J47" s="63">
        <v>20</v>
      </c>
      <c r="K47" s="9">
        <f t="shared" si="2"/>
        <v>2.6973701245159697E-2</v>
      </c>
      <c r="L47" s="8">
        <f t="shared" si="4"/>
        <v>4.4687682246575342</v>
      </c>
      <c r="N47" s="74"/>
      <c r="O47"/>
      <c r="P47"/>
      <c r="Q47"/>
    </row>
    <row r="48" spans="2:17" ht="15">
      <c r="B48" s="20" t="s">
        <v>142</v>
      </c>
      <c r="C48" s="32" t="s">
        <v>129</v>
      </c>
      <c r="D48" s="68" t="s">
        <v>172</v>
      </c>
      <c r="E48" s="20" t="s">
        <v>145</v>
      </c>
      <c r="F48" s="33" t="s">
        <v>144</v>
      </c>
      <c r="G48" s="31" t="s">
        <v>144</v>
      </c>
      <c r="H48" s="29">
        <f t="shared" si="3"/>
        <v>156.40688786301371</v>
      </c>
      <c r="I48" s="29">
        <f t="shared" si="5"/>
        <v>6256.2755145205483</v>
      </c>
      <c r="J48" s="63">
        <v>40</v>
      </c>
      <c r="K48" s="9">
        <f t="shared" si="2"/>
        <v>5.3947402490319395E-2</v>
      </c>
      <c r="L48" s="8">
        <f t="shared" si="4"/>
        <v>8.9375364493150684</v>
      </c>
      <c r="N48" s="74"/>
      <c r="O48"/>
      <c r="P48"/>
      <c r="Q48"/>
    </row>
    <row r="49" spans="2:12" ht="15">
      <c r="B49" s="21"/>
      <c r="C49" s="22"/>
      <c r="D49" s="19"/>
      <c r="E49" s="19"/>
      <c r="F49" s="28"/>
      <c r="G49" s="31"/>
      <c r="H49" s="31"/>
      <c r="I49" s="29"/>
      <c r="J49" s="63"/>
      <c r="K49" s="9"/>
      <c r="L49" s="8"/>
    </row>
    <row r="50" spans="2:12" ht="30">
      <c r="B50" s="14"/>
      <c r="C50" s="15" t="s">
        <v>222</v>
      </c>
      <c r="D50" s="15"/>
      <c r="E50" s="15"/>
      <c r="F50" s="15"/>
      <c r="G50" s="15"/>
      <c r="H50" s="15"/>
      <c r="I50" s="15"/>
      <c r="J50" s="15"/>
      <c r="K50" s="15"/>
      <c r="L50" s="15"/>
    </row>
    <row r="51" spans="2:12" ht="15">
      <c r="B51" s="14" t="s">
        <v>76</v>
      </c>
      <c r="C51" s="15" t="s">
        <v>208</v>
      </c>
      <c r="D51" s="14"/>
      <c r="E51" s="14"/>
      <c r="F51" s="16"/>
      <c r="G51" s="14"/>
      <c r="H51" s="14"/>
      <c r="I51" s="17">
        <f>SUM(I52:I62)</f>
        <v>36610.409140678217</v>
      </c>
      <c r="J51" s="62">
        <f>SUM(J52:J62)</f>
        <v>169.6925676235436</v>
      </c>
      <c r="K51" s="18">
        <f>IF(CUSTO_TOTAL&gt;0,I51/$I$117,0)</f>
        <v>0.31568885875685315</v>
      </c>
      <c r="L51" s="17">
        <f>SUM(L52:L55)</f>
        <v>52.300584486683164</v>
      </c>
    </row>
    <row r="52" spans="2:12" ht="29.25">
      <c r="B52" s="20" t="s">
        <v>49</v>
      </c>
      <c r="C52" s="22" t="s">
        <v>152</v>
      </c>
      <c r="D52" s="19" t="str">
        <f>HLOOKUP(B52,Customização!$C$4:$BD$10,TAB.REMUNERAÇÃO!$M$16+1,FALSE)</f>
        <v>SIM</v>
      </c>
      <c r="E52" s="19" t="s">
        <v>5</v>
      </c>
      <c r="F52" s="28">
        <v>0.1</v>
      </c>
      <c r="G52" s="31">
        <f>VLOOKUP(E52,$B$14:$F$25,5,FALSE)</f>
        <v>700</v>
      </c>
      <c r="H52" s="29">
        <f>$D$10</f>
        <v>215.7455076164384</v>
      </c>
      <c r="I52" s="29">
        <f>IF(AND(G52&gt;0,D52="SIM"),F52*(8/G52)^0.4*G52*H52,0)</f>
        <v>2524.8558028053949</v>
      </c>
      <c r="J52" s="63">
        <f t="shared" ref="J52:J55" si="6">I52/H52</f>
        <v>11.702935698175425</v>
      </c>
      <c r="K52" s="9">
        <f>IF(CUSTO_TOTAL&gt;0,I52/$I$117,0)</f>
        <v>2.1771645431507117E-2</v>
      </c>
      <c r="L52" s="8">
        <f t="shared" ref="L52:L55" si="7">IF(G52&gt;0,I52/G52,0)</f>
        <v>3.6069368611505643</v>
      </c>
    </row>
    <row r="53" spans="2:12" ht="29.25">
      <c r="B53" s="20" t="s">
        <v>48</v>
      </c>
      <c r="C53" s="22" t="s">
        <v>151</v>
      </c>
      <c r="D53" s="19" t="str">
        <f>HLOOKUP(B53,Customização!$C$4:$BD$10,TAB.REMUNERAÇÃO!$M$16+1,FALSE)</f>
        <v>SIM</v>
      </c>
      <c r="E53" s="19" t="s">
        <v>5</v>
      </c>
      <c r="F53" s="28">
        <v>0.15</v>
      </c>
      <c r="G53" s="31">
        <f>VLOOKUP(E53,$B$14:$F$25,5,FALSE)</f>
        <v>700</v>
      </c>
      <c r="H53" s="29">
        <f t="shared" ref="H53:H55" si="8">$D$10</f>
        <v>215.7455076164384</v>
      </c>
      <c r="I53" s="29">
        <f>IF(AND(G53&gt;0,D53="SIM"),F53*(8/G53)^0.4*G53*H53,0)</f>
        <v>3787.2837042080914</v>
      </c>
      <c r="J53" s="63">
        <f t="shared" si="6"/>
        <v>17.554403547263131</v>
      </c>
      <c r="K53" s="9">
        <f>IF(CUSTO_TOTAL&gt;0,I53/$I$117,0)</f>
        <v>3.2657468147260671E-2</v>
      </c>
      <c r="L53" s="8">
        <f t="shared" si="7"/>
        <v>5.4104052917258452</v>
      </c>
    </row>
    <row r="54" spans="2:12" ht="43.5">
      <c r="B54" s="20" t="s">
        <v>47</v>
      </c>
      <c r="C54" s="22" t="s">
        <v>150</v>
      </c>
      <c r="D54" s="19" t="str">
        <f>HLOOKUP(B54,Customização!$C$4:$BD$10,TAB.REMUNERAÇÃO!$M$16+1,FALSE)</f>
        <v>SIM</v>
      </c>
      <c r="E54" s="19" t="s">
        <v>5</v>
      </c>
      <c r="F54" s="28">
        <v>0.5</v>
      </c>
      <c r="G54" s="31">
        <f>VLOOKUP(E54,$B$14:$F$25,5,FALSE)</f>
        <v>700</v>
      </c>
      <c r="H54" s="29">
        <f t="shared" si="8"/>
        <v>215.7455076164384</v>
      </c>
      <c r="I54" s="29">
        <f>IF(AND(G54&gt;0,D54="SIM"),F54*(8/G54)^0.4*G54*H54,0)</f>
        <v>12624.279014026972</v>
      </c>
      <c r="J54" s="63">
        <f t="shared" si="6"/>
        <v>58.51467849087711</v>
      </c>
      <c r="K54" s="9">
        <f>IF(CUSTO_TOTAL&gt;0,I54/$I$117,0)</f>
        <v>0.10885822715753557</v>
      </c>
      <c r="L54" s="8">
        <f t="shared" si="7"/>
        <v>18.034684305752815</v>
      </c>
    </row>
    <row r="55" spans="2:12" ht="43.5">
      <c r="B55" s="20" t="s">
        <v>46</v>
      </c>
      <c r="C55" s="22" t="s">
        <v>167</v>
      </c>
      <c r="D55" s="19" t="str">
        <f>HLOOKUP(B55,Customização!$C$4:$BD$10,TAB.REMUNERAÇÃO!$M$16+1,FALSE)</f>
        <v>SIM</v>
      </c>
      <c r="E55" s="19" t="s">
        <v>5</v>
      </c>
      <c r="F55" s="28">
        <v>0.7</v>
      </c>
      <c r="G55" s="31">
        <f>VLOOKUP(E55,$B$14:$F$25,5,FALSE)</f>
        <v>700</v>
      </c>
      <c r="H55" s="29">
        <f t="shared" si="8"/>
        <v>215.7455076164384</v>
      </c>
      <c r="I55" s="29">
        <f>IF(AND(G55&gt;0,D55="SIM"),F55*(8/G55)^0.4*G55*H55,0)</f>
        <v>17673.99061963776</v>
      </c>
      <c r="J55" s="63">
        <f t="shared" si="6"/>
        <v>81.920549887227949</v>
      </c>
      <c r="K55" s="9">
        <f>IF(CUSTO_TOTAL&gt;0,I55/$I$117,0)</f>
        <v>0.1524015180205498</v>
      </c>
      <c r="L55" s="8">
        <f t="shared" si="7"/>
        <v>25.248558028053942</v>
      </c>
    </row>
    <row r="56" spans="2:12" ht="30">
      <c r="B56" s="39"/>
      <c r="C56" s="40" t="s">
        <v>212</v>
      </c>
      <c r="D56" s="39"/>
      <c r="E56" s="39"/>
      <c r="F56" s="41"/>
      <c r="G56" s="39"/>
      <c r="H56" s="39"/>
      <c r="I56" s="42"/>
      <c r="J56" s="64"/>
      <c r="K56" s="43"/>
      <c r="L56" s="42"/>
    </row>
    <row r="57" spans="2:12" ht="29.25">
      <c r="B57" s="20" t="s">
        <v>178</v>
      </c>
      <c r="C57" s="22" t="s">
        <v>179</v>
      </c>
      <c r="D57" s="19" t="str">
        <f>HLOOKUP(B57,Customização!$C$4:$BD$10,TAB.REMUNERAÇÃO!$M$16+1,FALSE)</f>
        <v>NÃO</v>
      </c>
      <c r="E57" s="19" t="s">
        <v>64</v>
      </c>
      <c r="F57" s="28">
        <v>0.25</v>
      </c>
      <c r="G57" s="56">
        <v>0</v>
      </c>
      <c r="H57" s="29">
        <f t="shared" ref="H57:H62" si="9">$D$10</f>
        <v>215.7455076164384</v>
      </c>
      <c r="I57" s="29">
        <f t="shared" ref="I57:I62" si="10">IF(AND(G57&gt;0,D57="SIM"),F57*(8/G57)^0.4*G57*H57,0)</f>
        <v>0</v>
      </c>
      <c r="J57" s="63">
        <f t="shared" ref="J57:J62" si="11">I57/H57</f>
        <v>0</v>
      </c>
      <c r="K57" s="9">
        <f t="shared" ref="K57:K62" si="12">IF(CUSTO_TOTAL&gt;0,I57/$I$117,0)</f>
        <v>0</v>
      </c>
      <c r="L57" s="8">
        <f t="shared" ref="L57" si="13">IF(G57&gt;0,I57/G57,0)</f>
        <v>0</v>
      </c>
    </row>
    <row r="58" spans="2:12" ht="15">
      <c r="B58" s="20" t="s">
        <v>161</v>
      </c>
      <c r="C58" s="22" t="s">
        <v>162</v>
      </c>
      <c r="D58" s="19" t="str">
        <f>HLOOKUP(B58,Customização!$C$4:$BD$10,TAB.REMUNERAÇÃO!$M$16+1,FALSE)</f>
        <v>NÃO</v>
      </c>
      <c r="E58" s="19" t="s">
        <v>64</v>
      </c>
      <c r="F58" s="28">
        <v>0.13</v>
      </c>
      <c r="G58" s="56">
        <v>0</v>
      </c>
      <c r="H58" s="29">
        <f t="shared" si="9"/>
        <v>215.7455076164384</v>
      </c>
      <c r="I58" s="29">
        <f t="shared" si="10"/>
        <v>0</v>
      </c>
      <c r="J58" s="63">
        <f t="shared" si="11"/>
        <v>0</v>
      </c>
      <c r="K58" s="9">
        <f t="shared" si="12"/>
        <v>0</v>
      </c>
      <c r="L58" s="8">
        <f t="shared" ref="L58:L62" si="14">IF(G58&gt;0,I58/G58,0)</f>
        <v>0</v>
      </c>
    </row>
    <row r="59" spans="2:12" ht="15">
      <c r="B59" s="20" t="s">
        <v>45</v>
      </c>
      <c r="C59" s="22" t="s">
        <v>146</v>
      </c>
      <c r="D59" s="19" t="str">
        <f>HLOOKUP(B59,Customização!$C$4:$BD$10,TAB.REMUNERAÇÃO!$M$16+1,FALSE)</f>
        <v>NÃO</v>
      </c>
      <c r="E59" s="19" t="s">
        <v>64</v>
      </c>
      <c r="F59" s="28">
        <v>0.13</v>
      </c>
      <c r="G59" s="56">
        <v>0</v>
      </c>
      <c r="H59" s="29">
        <f t="shared" si="9"/>
        <v>215.7455076164384</v>
      </c>
      <c r="I59" s="29">
        <f t="shared" si="10"/>
        <v>0</v>
      </c>
      <c r="J59" s="63">
        <f t="shared" si="11"/>
        <v>0</v>
      </c>
      <c r="K59" s="9">
        <f t="shared" si="12"/>
        <v>0</v>
      </c>
      <c r="L59" s="8">
        <f t="shared" si="14"/>
        <v>0</v>
      </c>
    </row>
    <row r="60" spans="2:12" ht="15">
      <c r="B60" s="20" t="s">
        <v>44</v>
      </c>
      <c r="C60" s="22" t="s">
        <v>147</v>
      </c>
      <c r="D60" s="19" t="str">
        <f>HLOOKUP(B60,Customização!$C$4:$BD$10,TAB.REMUNERAÇÃO!$M$16+1,FALSE)</f>
        <v>NÃO</v>
      </c>
      <c r="E60" s="19" t="s">
        <v>64</v>
      </c>
      <c r="F60" s="28">
        <v>0.03</v>
      </c>
      <c r="G60" s="56">
        <v>0</v>
      </c>
      <c r="H60" s="29">
        <f t="shared" si="9"/>
        <v>215.7455076164384</v>
      </c>
      <c r="I60" s="29">
        <f t="shared" si="10"/>
        <v>0</v>
      </c>
      <c r="J60" s="63">
        <f t="shared" si="11"/>
        <v>0</v>
      </c>
      <c r="K60" s="9">
        <f t="shared" si="12"/>
        <v>0</v>
      </c>
      <c r="L60" s="8">
        <f t="shared" si="14"/>
        <v>0</v>
      </c>
    </row>
    <row r="61" spans="2:12" ht="15">
      <c r="B61" s="20" t="s">
        <v>43</v>
      </c>
      <c r="C61" s="22" t="s">
        <v>148</v>
      </c>
      <c r="D61" s="19" t="str">
        <f>HLOOKUP(B61,Customização!$C$4:$BD$10,TAB.REMUNERAÇÃO!$M$16+1,FALSE)</f>
        <v>NÃO</v>
      </c>
      <c r="E61" s="19" t="s">
        <v>64</v>
      </c>
      <c r="F61" s="28">
        <v>0.1</v>
      </c>
      <c r="G61" s="56">
        <v>0</v>
      </c>
      <c r="H61" s="29">
        <f t="shared" si="9"/>
        <v>215.7455076164384</v>
      </c>
      <c r="I61" s="29">
        <f t="shared" si="10"/>
        <v>0</v>
      </c>
      <c r="J61" s="63">
        <f t="shared" si="11"/>
        <v>0</v>
      </c>
      <c r="K61" s="9">
        <f t="shared" si="12"/>
        <v>0</v>
      </c>
      <c r="L61" s="8">
        <f t="shared" si="14"/>
        <v>0</v>
      </c>
    </row>
    <row r="62" spans="2:12" ht="15">
      <c r="B62" s="20" t="s">
        <v>42</v>
      </c>
      <c r="C62" s="22" t="s">
        <v>149</v>
      </c>
      <c r="D62" s="19" t="str">
        <f>HLOOKUP(B62,Customização!$C$4:$BD$10,TAB.REMUNERAÇÃO!$M$16+1,FALSE)</f>
        <v>NÃO</v>
      </c>
      <c r="E62" s="19" t="s">
        <v>64</v>
      </c>
      <c r="F62" s="28">
        <v>0.02</v>
      </c>
      <c r="G62" s="56">
        <v>0</v>
      </c>
      <c r="H62" s="29">
        <f t="shared" si="9"/>
        <v>215.7455076164384</v>
      </c>
      <c r="I62" s="29">
        <f t="shared" si="10"/>
        <v>0</v>
      </c>
      <c r="J62" s="63">
        <f t="shared" si="11"/>
        <v>0</v>
      </c>
      <c r="K62" s="9">
        <f t="shared" si="12"/>
        <v>0</v>
      </c>
      <c r="L62" s="8">
        <f t="shared" si="14"/>
        <v>0</v>
      </c>
    </row>
    <row r="63" spans="2:12" ht="15">
      <c r="B63" s="21"/>
      <c r="C63" s="22"/>
      <c r="D63" s="21"/>
      <c r="E63" s="21"/>
      <c r="F63" s="34"/>
      <c r="G63" s="21"/>
      <c r="H63" s="21"/>
      <c r="I63" s="21"/>
      <c r="J63" s="65"/>
      <c r="K63" s="9"/>
      <c r="L63" s="8"/>
    </row>
    <row r="64" spans="2:12" ht="15">
      <c r="B64" s="14" t="s">
        <v>92</v>
      </c>
      <c r="C64" s="15" t="s">
        <v>209</v>
      </c>
      <c r="D64" s="14"/>
      <c r="E64" s="14"/>
      <c r="F64" s="16"/>
      <c r="G64" s="14"/>
      <c r="H64" s="14"/>
      <c r="I64" s="17">
        <f>I65+I68+I71+I76+I80+I89+I100</f>
        <v>54508.367348561093</v>
      </c>
      <c r="J64" s="62">
        <f>J65+J68+J71+J76+J80+J89+J100</f>
        <v>252.65122760038366</v>
      </c>
      <c r="K64" s="18">
        <f>IF(CUSTO_TOTAL&gt;0,I64/$I$117,0)</f>
        <v>0.47002163277784642</v>
      </c>
      <c r="L64" s="17">
        <f>L65+L68+L71+L76+L80+L89+L100</f>
        <v>75.668293693073977</v>
      </c>
    </row>
    <row r="65" spans="2:12" ht="15">
      <c r="B65" s="39" t="s">
        <v>114</v>
      </c>
      <c r="C65" s="40" t="s">
        <v>110</v>
      </c>
      <c r="D65" s="39"/>
      <c r="E65" s="39"/>
      <c r="F65" s="41"/>
      <c r="G65" s="39"/>
      <c r="H65" s="39"/>
      <c r="I65" s="42">
        <f>SUM(I66)</f>
        <v>2370.0950206296875</v>
      </c>
      <c r="J65" s="64">
        <f>SUM(J66)</f>
        <v>10.985605433061178</v>
      </c>
      <c r="K65" s="43">
        <f>IF(CUSTO_TOTAL&gt;0,I65/$I$117,0)</f>
        <v>2.0437154617224403E-2</v>
      </c>
      <c r="L65" s="42">
        <f>SUM(L66)</f>
        <v>1.1850475103148437</v>
      </c>
    </row>
    <row r="66" spans="2:12" ht="15">
      <c r="B66" s="20" t="s">
        <v>109</v>
      </c>
      <c r="C66" s="22" t="s">
        <v>39</v>
      </c>
      <c r="D66" s="19" t="str">
        <f>HLOOKUP(B66,Customização!$C$4:$BD$10,TAB.REMUNERAÇÃO!$M$16+1,FALSE)</f>
        <v>SIM</v>
      </c>
      <c r="E66" s="19" t="s">
        <v>38</v>
      </c>
      <c r="F66" s="28">
        <v>0.05</v>
      </c>
      <c r="G66" s="31">
        <f>VLOOKUP(E66,$B$14:$F$25,5,FALSE)</f>
        <v>2000</v>
      </c>
      <c r="H66" s="29">
        <f>$D$10</f>
        <v>215.7455076164384</v>
      </c>
      <c r="I66" s="29">
        <f>IF(AND(G66&gt;0,D66="SIM"),F66*(8/G66)^0.4*G66*H66,0)</f>
        <v>2370.0950206296875</v>
      </c>
      <c r="J66" s="63">
        <f>I66/H66</f>
        <v>10.985605433061178</v>
      </c>
      <c r="K66" s="9">
        <f>IF(CUSTO_TOTAL&gt;0,I66/$I$117,0)</f>
        <v>2.0437154617224403E-2</v>
      </c>
      <c r="L66" s="8">
        <f>IF(G66&gt;0,I66/G66,0)</f>
        <v>1.1850475103148437</v>
      </c>
    </row>
    <row r="67" spans="2:12" ht="15">
      <c r="B67" s="21"/>
      <c r="C67" s="22"/>
      <c r="D67" s="19"/>
      <c r="E67" s="19"/>
      <c r="F67" s="28"/>
      <c r="G67" s="31"/>
      <c r="H67" s="29"/>
      <c r="I67" s="29"/>
      <c r="J67" s="63"/>
      <c r="K67" s="9"/>
      <c r="L67" s="8"/>
    </row>
    <row r="68" spans="2:12" ht="15">
      <c r="B68" s="39" t="s">
        <v>115</v>
      </c>
      <c r="C68" s="40" t="s">
        <v>116</v>
      </c>
      <c r="D68" s="39"/>
      <c r="E68" s="39"/>
      <c r="F68" s="41"/>
      <c r="G68" s="39"/>
      <c r="H68" s="39"/>
      <c r="I68" s="42">
        <f>SUM(I69)</f>
        <v>0</v>
      </c>
      <c r="J68" s="64">
        <f>SUM(J69)</f>
        <v>0</v>
      </c>
      <c r="K68" s="43">
        <f>IF(CUSTO_TOTAL&gt;0,I68/$I$117,0)</f>
        <v>0</v>
      </c>
      <c r="L68" s="42">
        <f>SUM(L69)</f>
        <v>0</v>
      </c>
    </row>
    <row r="69" spans="2:12" ht="29.25">
      <c r="B69" s="20" t="s">
        <v>117</v>
      </c>
      <c r="C69" s="22" t="s">
        <v>35</v>
      </c>
      <c r="D69" s="19" t="str">
        <f>HLOOKUP(B69,Customização!$C$4:$BD$10,TAB.REMUNERAÇÃO!$M$16+1,FALSE)</f>
        <v>SIM</v>
      </c>
      <c r="E69" s="20" t="s">
        <v>64</v>
      </c>
      <c r="F69" s="33">
        <v>0.1</v>
      </c>
      <c r="G69" s="56">
        <v>0</v>
      </c>
      <c r="H69" s="29">
        <f>$D$10</f>
        <v>215.7455076164384</v>
      </c>
      <c r="I69" s="29">
        <f>IF(AND(G69&gt;0,D69="SIM"),F69*(8/G69)^0.4*G69*H69,0)</f>
        <v>0</v>
      </c>
      <c r="J69" s="63">
        <f>I69/H69</f>
        <v>0</v>
      </c>
      <c r="K69" s="9">
        <f>IF(CUSTO_TOTAL&gt;0,I69/$I$117,0)</f>
        <v>0</v>
      </c>
      <c r="L69" s="8">
        <f>IF(G69&gt;0,I69/G69,0)</f>
        <v>0</v>
      </c>
    </row>
    <row r="70" spans="2:12" ht="15">
      <c r="B70" s="21"/>
      <c r="C70" s="22"/>
      <c r="D70" s="19"/>
      <c r="E70" s="19"/>
      <c r="F70" s="28"/>
      <c r="G70" s="31"/>
      <c r="H70" s="29"/>
      <c r="I70" s="29"/>
      <c r="J70" s="63"/>
      <c r="K70" s="9"/>
      <c r="L70" s="8"/>
    </row>
    <row r="71" spans="2:12" ht="15">
      <c r="B71" s="39" t="s">
        <v>180</v>
      </c>
      <c r="C71" s="40" t="s">
        <v>105</v>
      </c>
      <c r="D71" s="39"/>
      <c r="E71" s="39"/>
      <c r="F71" s="41"/>
      <c r="G71" s="39"/>
      <c r="H71" s="39"/>
      <c r="I71" s="42">
        <f>SUM(I72:I74)</f>
        <v>20577.574792863965</v>
      </c>
      <c r="J71" s="64">
        <f>SUM(J72:J74)</f>
        <v>95.37892594012969</v>
      </c>
      <c r="K71" s="43">
        <f>IF(CUSTO_TOTAL&gt;0,I71/$I$117,0)</f>
        <v>0.17743891026678299</v>
      </c>
      <c r="L71" s="42">
        <f>SUM(L72:L74)</f>
        <v>29.396535418377091</v>
      </c>
    </row>
    <row r="72" spans="2:12" ht="15">
      <c r="B72" s="20" t="s">
        <v>95</v>
      </c>
      <c r="C72" s="22" t="s">
        <v>40</v>
      </c>
      <c r="D72" s="19" t="s">
        <v>173</v>
      </c>
      <c r="E72" s="20" t="s">
        <v>34</v>
      </c>
      <c r="F72" s="33">
        <v>0.15</v>
      </c>
      <c r="G72" s="31">
        <f>VLOOKUP(E72,$B$14:$F$25,5,FALSE)</f>
        <v>700</v>
      </c>
      <c r="H72" s="29">
        <f t="shared" ref="H72:H74" si="15">$D$10</f>
        <v>215.7455076164384</v>
      </c>
      <c r="I72" s="29">
        <f>IF(AND(G72&gt;0,D72="SIM"),F72*(8/G72)^0.4*G72*H72,0)</f>
        <v>0</v>
      </c>
      <c r="J72" s="63">
        <f t="shared" ref="J72:J74" si="16">I72/H72</f>
        <v>0</v>
      </c>
      <c r="K72" s="9">
        <f>IF(CUSTO_TOTAL&gt;0,I72/$I$117,0)</f>
        <v>0</v>
      </c>
      <c r="L72" s="38">
        <f t="shared" ref="L72:L74" si="17">IF(G72&gt;0,I72/G72,0)</f>
        <v>0</v>
      </c>
    </row>
    <row r="73" spans="2:12" ht="15">
      <c r="B73" s="20" t="s">
        <v>96</v>
      </c>
      <c r="C73" s="22" t="s">
        <v>158</v>
      </c>
      <c r="D73" s="19" t="str">
        <f>HLOOKUP(B73,Customização!$C$4:$BD$10,TAB.REMUNERAÇÃO!$M$16+1,FALSE)</f>
        <v>SIM</v>
      </c>
      <c r="E73" s="20" t="s">
        <v>34</v>
      </c>
      <c r="F73" s="33">
        <v>0.61499999999999999</v>
      </c>
      <c r="G73" s="31">
        <f>VLOOKUP(E73,$B$14:$F$25,5,FALSE)</f>
        <v>700</v>
      </c>
      <c r="H73" s="29">
        <f t="shared" si="15"/>
        <v>215.7455076164384</v>
      </c>
      <c r="I73" s="29">
        <f>IF(AND(G73&gt;0,D73="SIM"),F73*(8/G73)^0.4*G73*H73,0)</f>
        <v>15527.863187253175</v>
      </c>
      <c r="J73" s="63">
        <f t="shared" si="16"/>
        <v>71.973054543778844</v>
      </c>
      <c r="K73" s="9">
        <f>IF(CUSTO_TOTAL&gt;0,I73/$I$117,0)</f>
        <v>0.13389561940376873</v>
      </c>
      <c r="L73" s="38">
        <f t="shared" si="17"/>
        <v>22.182661696075964</v>
      </c>
    </row>
    <row r="74" spans="2:12" ht="28.5">
      <c r="B74" s="20" t="s">
        <v>97</v>
      </c>
      <c r="C74" s="22" t="s">
        <v>171</v>
      </c>
      <c r="D74" s="19" t="str">
        <f>HLOOKUP(B74,Customização!$C$4:$BD$10,TAB.REMUNERAÇÃO!$M$16+1,FALSE)</f>
        <v>SIM</v>
      </c>
      <c r="E74" s="20" t="s">
        <v>34</v>
      </c>
      <c r="F74" s="33">
        <v>0.2</v>
      </c>
      <c r="G74" s="31">
        <f>VLOOKUP(E74,$B$14:$F$25,5,FALSE)</f>
        <v>700</v>
      </c>
      <c r="H74" s="29">
        <f t="shared" si="15"/>
        <v>215.7455076164384</v>
      </c>
      <c r="I74" s="29">
        <f>IF(AND(G74&gt;0,D74="SIM"),F74*(8/G74)^0.4*G74*H74,0)</f>
        <v>5049.7116056107898</v>
      </c>
      <c r="J74" s="63">
        <f t="shared" si="16"/>
        <v>23.40587139635085</v>
      </c>
      <c r="K74" s="9">
        <f>IF(CUSTO_TOTAL&gt;0,I74/$I$117,0)</f>
        <v>4.3543290863014235E-2</v>
      </c>
      <c r="L74" s="38">
        <f t="shared" si="17"/>
        <v>7.2138737223011287</v>
      </c>
    </row>
    <row r="75" spans="2:12" ht="15">
      <c r="B75" s="21"/>
      <c r="C75" s="22"/>
      <c r="D75" s="19"/>
      <c r="E75" s="19"/>
      <c r="F75" s="28"/>
      <c r="G75" s="31"/>
      <c r="H75" s="29"/>
      <c r="I75" s="29"/>
      <c r="J75" s="63"/>
      <c r="K75" s="9"/>
      <c r="L75" s="8"/>
    </row>
    <row r="76" spans="2:12" ht="15">
      <c r="B76" s="39" t="s">
        <v>106</v>
      </c>
      <c r="C76" s="40" t="s">
        <v>107</v>
      </c>
      <c r="D76" s="39"/>
      <c r="E76" s="39"/>
      <c r="F76" s="41"/>
      <c r="G76" s="39"/>
      <c r="H76" s="39"/>
      <c r="I76" s="42">
        <f>SUM(I77:I78)</f>
        <v>5049.7116056107889</v>
      </c>
      <c r="J76" s="64">
        <f>SUM(J77:J78)</f>
        <v>23.405871396350843</v>
      </c>
      <c r="K76" s="43">
        <f>IF(CUSTO_TOTAL&gt;0,I76/$I$117,0)</f>
        <v>4.3543290863014228E-2</v>
      </c>
      <c r="L76" s="42">
        <f>SUM(L77:L78)</f>
        <v>7.2138737223011269</v>
      </c>
    </row>
    <row r="77" spans="2:12" ht="15">
      <c r="B77" s="20" t="s">
        <v>98</v>
      </c>
      <c r="C77" s="22" t="s">
        <v>37</v>
      </c>
      <c r="D77" s="19" t="str">
        <f>HLOOKUP(B77,Customização!$C$4:$BD$10,TAB.REMUNERAÇÃO!$M$16+1,FALSE)</f>
        <v>SIM</v>
      </c>
      <c r="E77" s="20" t="s">
        <v>5</v>
      </c>
      <c r="F77" s="33">
        <v>0.15</v>
      </c>
      <c r="G77" s="31">
        <f>VLOOKUP(E77,$B$14:$F$25,5,FALSE)</f>
        <v>700</v>
      </c>
      <c r="H77" s="29">
        <f t="shared" ref="H77:H78" si="18">$D$10</f>
        <v>215.7455076164384</v>
      </c>
      <c r="I77" s="29">
        <f>IF(AND(G77&gt;0,D77="SIM"),F77*(8/G77)^0.4*G77*H77,0)</f>
        <v>3787.2837042080914</v>
      </c>
      <c r="J77" s="63">
        <f t="shared" ref="J77:J78" si="19">I77/H77</f>
        <v>17.554403547263131</v>
      </c>
      <c r="K77" s="9">
        <f>IF(CUSTO_TOTAL&gt;0,I77/$I$117,0)</f>
        <v>3.2657468147260671E-2</v>
      </c>
      <c r="L77" s="38">
        <f t="shared" ref="L77:L78" si="20">IF(G77&gt;0,I77/G77,0)</f>
        <v>5.4104052917258452</v>
      </c>
    </row>
    <row r="78" spans="2:12" ht="15">
      <c r="B78" s="20" t="s">
        <v>99</v>
      </c>
      <c r="C78" s="22" t="s">
        <v>36</v>
      </c>
      <c r="D78" s="19" t="str">
        <f>HLOOKUP(B78,Customização!$C$4:$BD$10,TAB.REMUNERAÇÃO!$M$16+1,FALSE)</f>
        <v>SIM</v>
      </c>
      <c r="E78" s="20" t="s">
        <v>5</v>
      </c>
      <c r="F78" s="33">
        <v>0.05</v>
      </c>
      <c r="G78" s="31">
        <f>VLOOKUP(E78,$B$14:$F$25,5,FALSE)</f>
        <v>700</v>
      </c>
      <c r="H78" s="29">
        <f t="shared" si="18"/>
        <v>215.7455076164384</v>
      </c>
      <c r="I78" s="29">
        <f>IF(AND(G78&gt;0,D78="SIM"),F78*(8/G78)^0.4*G78*H78,0)</f>
        <v>1262.4279014026974</v>
      </c>
      <c r="J78" s="63">
        <f t="shared" si="19"/>
        <v>5.8514678490877126</v>
      </c>
      <c r="K78" s="9">
        <f>IF(CUSTO_TOTAL&gt;0,I78/$I$117,0)</f>
        <v>1.0885822715753559E-2</v>
      </c>
      <c r="L78" s="38">
        <f t="shared" si="20"/>
        <v>1.8034684305752822</v>
      </c>
    </row>
    <row r="79" spans="2:12" ht="15">
      <c r="B79" s="21"/>
      <c r="C79" s="22"/>
      <c r="D79" s="20"/>
      <c r="E79" s="20"/>
      <c r="F79" s="33"/>
      <c r="G79" s="31"/>
      <c r="H79" s="37"/>
      <c r="I79" s="37"/>
      <c r="J79" s="66"/>
      <c r="K79" s="9"/>
      <c r="L79" s="38"/>
    </row>
    <row r="80" spans="2:12" ht="15">
      <c r="B80" s="39" t="s">
        <v>118</v>
      </c>
      <c r="C80" s="40" t="s">
        <v>119</v>
      </c>
      <c r="D80" s="39"/>
      <c r="E80" s="39"/>
      <c r="F80" s="41"/>
      <c r="G80" s="39"/>
      <c r="H80" s="39"/>
      <c r="I80" s="42">
        <f>SUM(I81:I87)</f>
        <v>3787.2837042080923</v>
      </c>
      <c r="J80" s="64">
        <f>SUM(J81:J87)</f>
        <v>17.554403547263139</v>
      </c>
      <c r="K80" s="43">
        <f t="shared" ref="K80:K87" si="21">IF(CUSTO_TOTAL&gt;0,I80/$I$117,0)</f>
        <v>3.2657468147260678E-2</v>
      </c>
      <c r="L80" s="42">
        <f>SUM(L81:L87)</f>
        <v>5.4104052917258461</v>
      </c>
    </row>
    <row r="81" spans="2:12" ht="15">
      <c r="B81" s="20" t="s">
        <v>120</v>
      </c>
      <c r="C81" s="22" t="s">
        <v>153</v>
      </c>
      <c r="D81" s="19" t="str">
        <f>HLOOKUP(B81,Customização!$C$4:$BD$10,TAB.REMUNERAÇÃO!$M$16+1,FALSE)</f>
        <v>SIM</v>
      </c>
      <c r="E81" s="20" t="s">
        <v>5</v>
      </c>
      <c r="F81" s="33">
        <v>0.05</v>
      </c>
      <c r="G81" s="31">
        <f>VLOOKUP(E81,$B$14:$F$25,5,FALSE)</f>
        <v>700</v>
      </c>
      <c r="H81" s="29">
        <f t="shared" ref="H81:H87" si="22">$D$10</f>
        <v>215.7455076164384</v>
      </c>
      <c r="I81" s="29">
        <f t="shared" ref="I81:I87" si="23">IF(AND(G81&gt;0,D81="SIM"),F81*(8/G81)^0.4*G81*H81,0)</f>
        <v>1262.4279014026974</v>
      </c>
      <c r="J81" s="63">
        <f t="shared" ref="J81:J87" si="24">I81/H81</f>
        <v>5.8514678490877126</v>
      </c>
      <c r="K81" s="9">
        <f t="shared" si="21"/>
        <v>1.0885822715753559E-2</v>
      </c>
      <c r="L81" s="38">
        <f t="shared" ref="L81:L87" si="25">IF(G81&gt;0,I81/G81,0)</f>
        <v>1.8034684305752822</v>
      </c>
    </row>
    <row r="82" spans="2:12" ht="28.5">
      <c r="B82" s="20" t="s">
        <v>121</v>
      </c>
      <c r="C82" s="22" t="s">
        <v>154</v>
      </c>
      <c r="D82" s="19" t="str">
        <f>HLOOKUP(B82,Customização!$C$4:$BD$10,TAB.REMUNERAÇÃO!$M$16+1,FALSE)</f>
        <v>NÃO</v>
      </c>
      <c r="E82" s="20" t="s">
        <v>5</v>
      </c>
      <c r="F82" s="33">
        <v>0.1</v>
      </c>
      <c r="G82" s="31">
        <f>VLOOKUP(E82,$B$14:$F$25,5,FALSE)</f>
        <v>700</v>
      </c>
      <c r="H82" s="29">
        <f t="shared" si="22"/>
        <v>215.7455076164384</v>
      </c>
      <c r="I82" s="29">
        <f t="shared" si="23"/>
        <v>0</v>
      </c>
      <c r="J82" s="63">
        <f t="shared" si="24"/>
        <v>0</v>
      </c>
      <c r="K82" s="9">
        <f t="shared" si="21"/>
        <v>0</v>
      </c>
      <c r="L82" s="38">
        <f t="shared" si="25"/>
        <v>0</v>
      </c>
    </row>
    <row r="83" spans="2:12" ht="15">
      <c r="B83" s="20" t="s">
        <v>122</v>
      </c>
      <c r="C83" s="22" t="s">
        <v>155</v>
      </c>
      <c r="D83" s="19" t="str">
        <f>HLOOKUP(B83,Customização!$C$4:$BD$10,TAB.REMUNERAÇÃO!$M$16+1,FALSE)</f>
        <v>NÃO</v>
      </c>
      <c r="E83" s="20" t="s">
        <v>5</v>
      </c>
      <c r="F83" s="33">
        <v>0.03</v>
      </c>
      <c r="G83" s="31">
        <f>VLOOKUP(E83,$B$14:$F$25,5,FALSE)</f>
        <v>700</v>
      </c>
      <c r="H83" s="29">
        <f t="shared" si="22"/>
        <v>215.7455076164384</v>
      </c>
      <c r="I83" s="29">
        <f t="shared" si="23"/>
        <v>0</v>
      </c>
      <c r="J83" s="63">
        <f t="shared" si="24"/>
        <v>0</v>
      </c>
      <c r="K83" s="9">
        <f t="shared" si="21"/>
        <v>0</v>
      </c>
      <c r="L83" s="38">
        <f t="shared" si="25"/>
        <v>0</v>
      </c>
    </row>
    <row r="84" spans="2:12" ht="15">
      <c r="B84" s="20" t="s">
        <v>123</v>
      </c>
      <c r="C84" s="22" t="s">
        <v>126</v>
      </c>
      <c r="D84" s="19" t="str">
        <f>HLOOKUP(B84,Customização!$C$4:$BD$10,TAB.REMUNERAÇÃO!$M$16+1,FALSE)</f>
        <v>NÃO</v>
      </c>
      <c r="E84" s="20" t="s">
        <v>5</v>
      </c>
      <c r="F84" s="33">
        <v>0.1</v>
      </c>
      <c r="G84" s="31">
        <f>VLOOKUP(E84,$B$14:$F$25,5,FALSE)</f>
        <v>700</v>
      </c>
      <c r="H84" s="29">
        <f t="shared" si="22"/>
        <v>215.7455076164384</v>
      </c>
      <c r="I84" s="29">
        <f t="shared" si="23"/>
        <v>0</v>
      </c>
      <c r="J84" s="63">
        <f t="shared" si="24"/>
        <v>0</v>
      </c>
      <c r="K84" s="9">
        <f t="shared" si="21"/>
        <v>0</v>
      </c>
      <c r="L84" s="38">
        <f t="shared" si="25"/>
        <v>0</v>
      </c>
    </row>
    <row r="85" spans="2:12" ht="28.5">
      <c r="B85" s="20" t="s">
        <v>124</v>
      </c>
      <c r="C85" s="22" t="s">
        <v>156</v>
      </c>
      <c r="D85" s="19" t="str">
        <f>HLOOKUP(B85,Customização!$C$4:$BD$10,TAB.REMUNERAÇÃO!$M$16+1,FALSE)</f>
        <v>NÃO</v>
      </c>
      <c r="E85" s="20"/>
      <c r="F85" s="33"/>
      <c r="G85" s="31"/>
      <c r="H85" s="29">
        <f t="shared" si="22"/>
        <v>215.7455076164384</v>
      </c>
      <c r="I85" s="29">
        <f t="shared" si="23"/>
        <v>0</v>
      </c>
      <c r="J85" s="63">
        <f t="shared" si="24"/>
        <v>0</v>
      </c>
      <c r="K85" s="9">
        <f t="shared" si="21"/>
        <v>0</v>
      </c>
      <c r="L85" s="38">
        <f t="shared" si="25"/>
        <v>0</v>
      </c>
    </row>
    <row r="86" spans="2:12" ht="15">
      <c r="B86" s="20" t="s">
        <v>125</v>
      </c>
      <c r="C86" s="22" t="s">
        <v>22</v>
      </c>
      <c r="D86" s="19" t="str">
        <f>HLOOKUP(B86,Customização!$C$4:$BD$10,TAB.REMUNERAÇÃO!$M$16+1,FALSE)</f>
        <v>SIM</v>
      </c>
      <c r="E86" s="20" t="s">
        <v>5</v>
      </c>
      <c r="F86" s="33">
        <v>0.05</v>
      </c>
      <c r="G86" s="31">
        <f>VLOOKUP(E86,$B$14:$F$25,5,FALSE)</f>
        <v>700</v>
      </c>
      <c r="H86" s="29">
        <f t="shared" si="22"/>
        <v>215.7455076164384</v>
      </c>
      <c r="I86" s="29">
        <f t="shared" si="23"/>
        <v>1262.4279014026974</v>
      </c>
      <c r="J86" s="63">
        <f t="shared" si="24"/>
        <v>5.8514678490877126</v>
      </c>
      <c r="K86" s="9">
        <f t="shared" si="21"/>
        <v>1.0885822715753559E-2</v>
      </c>
      <c r="L86" s="38">
        <f t="shared" si="25"/>
        <v>1.8034684305752822</v>
      </c>
    </row>
    <row r="87" spans="2:12" ht="28.5">
      <c r="B87" s="20" t="s">
        <v>157</v>
      </c>
      <c r="C87" s="22" t="s">
        <v>21</v>
      </c>
      <c r="D87" s="19" t="str">
        <f>HLOOKUP(B87,Customização!$C$4:$BD$10,TAB.REMUNERAÇÃO!$M$16+1,FALSE)</f>
        <v>SIM</v>
      </c>
      <c r="E87" s="20" t="s">
        <v>5</v>
      </c>
      <c r="F87" s="33">
        <v>0.05</v>
      </c>
      <c r="G87" s="31">
        <f>VLOOKUP(E87,$B$14:$F$25,5,FALSE)</f>
        <v>700</v>
      </c>
      <c r="H87" s="29">
        <f t="shared" si="22"/>
        <v>215.7455076164384</v>
      </c>
      <c r="I87" s="29">
        <f t="shared" si="23"/>
        <v>1262.4279014026974</v>
      </c>
      <c r="J87" s="63">
        <f t="shared" si="24"/>
        <v>5.8514678490877126</v>
      </c>
      <c r="K87" s="9">
        <f t="shared" si="21"/>
        <v>1.0885822715753559E-2</v>
      </c>
      <c r="L87" s="38">
        <f t="shared" si="25"/>
        <v>1.8034684305752822</v>
      </c>
    </row>
    <row r="88" spans="2:12" ht="15">
      <c r="B88" s="21"/>
      <c r="C88" s="22"/>
      <c r="D88" s="21"/>
      <c r="E88" s="21"/>
      <c r="F88" s="34"/>
      <c r="G88" s="21"/>
      <c r="H88" s="21"/>
      <c r="I88" s="21"/>
      <c r="J88" s="65"/>
      <c r="K88" s="9"/>
      <c r="L88" s="8"/>
    </row>
    <row r="89" spans="2:12" ht="15">
      <c r="B89" s="39" t="s">
        <v>102</v>
      </c>
      <c r="C89" s="40" t="s">
        <v>108</v>
      </c>
      <c r="D89" s="39"/>
      <c r="E89" s="39"/>
      <c r="F89" s="41"/>
      <c r="G89" s="39"/>
      <c r="H89" s="39"/>
      <c r="I89" s="42">
        <f>SUM(I90:I97)</f>
        <v>12119.307853465896</v>
      </c>
      <c r="J89" s="64">
        <f>SUM(J90:J97)</f>
        <v>56.174091351242041</v>
      </c>
      <c r="K89" s="43">
        <f t="shared" ref="K89:K98" si="26">IF(CUSTO_TOTAL&gt;0,I89/$I$117,0)</f>
        <v>0.10450389807123417</v>
      </c>
      <c r="L89" s="42">
        <f t="shared" ref="L89" si="27">I89/AEQ</f>
        <v>17.313296933522707</v>
      </c>
    </row>
    <row r="90" spans="2:12" ht="42.75">
      <c r="B90" s="20" t="s">
        <v>33</v>
      </c>
      <c r="C90" s="22" t="s">
        <v>163</v>
      </c>
      <c r="D90" s="19" t="str">
        <f>HLOOKUP(B90,Customização!$C$4:$BD$10,TAB.REMUNERAÇÃO!$M$16+1,FALSE)</f>
        <v>SIM</v>
      </c>
      <c r="E90" s="20" t="s">
        <v>5</v>
      </c>
      <c r="F90" s="33">
        <v>0.05</v>
      </c>
      <c r="G90" s="31">
        <f t="shared" ref="G90:G97" si="28">VLOOKUP(E90,$B$14:$F$25,5,FALSE)</f>
        <v>700</v>
      </c>
      <c r="H90" s="29">
        <f t="shared" ref="H90:H98" si="29">$D$10</f>
        <v>215.7455076164384</v>
      </c>
      <c r="I90" s="29">
        <f t="shared" ref="I90:I98" si="30">IF(AND(G90&gt;0,D90="SIM"),F90*(8/G90)^0.4*G90*H90,0)</f>
        <v>1262.4279014026974</v>
      </c>
      <c r="J90" s="63">
        <f t="shared" ref="J90:J98" si="31">I90/H90</f>
        <v>5.8514678490877126</v>
      </c>
      <c r="K90" s="9">
        <f t="shared" si="26"/>
        <v>1.0885822715753559E-2</v>
      </c>
      <c r="L90" s="38">
        <f t="shared" ref="L90:L98" si="32">IF(G90&gt;0,I90/G90,0)</f>
        <v>1.8034684305752822</v>
      </c>
    </row>
    <row r="91" spans="2:12" ht="15">
      <c r="B91" s="20" t="s">
        <v>32</v>
      </c>
      <c r="C91" s="22" t="s">
        <v>159</v>
      </c>
      <c r="D91" s="19" t="str">
        <f>HLOOKUP(B91,Customização!$C$4:$BD$10,TAB.REMUNERAÇÃO!$M$16+1,FALSE)</f>
        <v>NÃO</v>
      </c>
      <c r="E91" s="20" t="s">
        <v>5</v>
      </c>
      <c r="F91" s="33">
        <v>0.05</v>
      </c>
      <c r="G91" s="31">
        <f t="shared" si="28"/>
        <v>700</v>
      </c>
      <c r="H91" s="29">
        <f t="shared" si="29"/>
        <v>215.7455076164384</v>
      </c>
      <c r="I91" s="29">
        <f t="shared" si="30"/>
        <v>0</v>
      </c>
      <c r="J91" s="63">
        <f t="shared" si="31"/>
        <v>0</v>
      </c>
      <c r="K91" s="9">
        <f t="shared" si="26"/>
        <v>0</v>
      </c>
      <c r="L91" s="38">
        <f t="shared" si="32"/>
        <v>0</v>
      </c>
    </row>
    <row r="92" spans="2:12" ht="15">
      <c r="B92" s="20" t="s">
        <v>31</v>
      </c>
      <c r="C92" s="22" t="s">
        <v>83</v>
      </c>
      <c r="D92" s="19" t="str">
        <f>HLOOKUP(B92,Customização!$C$4:$BD$10,TAB.REMUNERAÇÃO!$M$16+1,FALSE)</f>
        <v>SIM</v>
      </c>
      <c r="E92" s="20" t="s">
        <v>5</v>
      </c>
      <c r="F92" s="33">
        <v>0.08</v>
      </c>
      <c r="G92" s="31">
        <f t="shared" si="28"/>
        <v>700</v>
      </c>
      <c r="H92" s="29">
        <f t="shared" si="29"/>
        <v>215.7455076164384</v>
      </c>
      <c r="I92" s="29">
        <f t="shared" si="30"/>
        <v>2019.8846422443157</v>
      </c>
      <c r="J92" s="63">
        <f t="shared" si="31"/>
        <v>9.3623485585403383</v>
      </c>
      <c r="K92" s="9">
        <f t="shared" si="26"/>
        <v>1.7417316345205693E-2</v>
      </c>
      <c r="L92" s="38">
        <f t="shared" si="32"/>
        <v>2.8855494889204509</v>
      </c>
    </row>
    <row r="93" spans="2:12" ht="15">
      <c r="B93" s="20" t="s">
        <v>30</v>
      </c>
      <c r="C93" s="22" t="s">
        <v>160</v>
      </c>
      <c r="D93" s="19" t="str">
        <f>HLOOKUP(B93,Customização!$C$4:$BD$10,TAB.REMUNERAÇÃO!$M$16+1,FALSE)</f>
        <v>SIM</v>
      </c>
      <c r="E93" s="20" t="s">
        <v>5</v>
      </c>
      <c r="F93" s="33">
        <v>0.08</v>
      </c>
      <c r="G93" s="31">
        <f t="shared" si="28"/>
        <v>700</v>
      </c>
      <c r="H93" s="29">
        <f t="shared" si="29"/>
        <v>215.7455076164384</v>
      </c>
      <c r="I93" s="29">
        <f t="shared" si="30"/>
        <v>2019.8846422443157</v>
      </c>
      <c r="J93" s="63">
        <f t="shared" si="31"/>
        <v>9.3623485585403383</v>
      </c>
      <c r="K93" s="9">
        <f t="shared" si="26"/>
        <v>1.7417316345205693E-2</v>
      </c>
      <c r="L93" s="38">
        <f t="shared" si="32"/>
        <v>2.8855494889204509</v>
      </c>
    </row>
    <row r="94" spans="2:12" ht="15">
      <c r="B94" s="20" t="s">
        <v>29</v>
      </c>
      <c r="C94" s="22" t="s">
        <v>28</v>
      </c>
      <c r="D94" s="19" t="str">
        <f>HLOOKUP(B94,Customização!$C$4:$BD$10,TAB.REMUNERAÇÃO!$M$16+1,FALSE)</f>
        <v>SIM</v>
      </c>
      <c r="E94" s="20" t="s">
        <v>5</v>
      </c>
      <c r="F94" s="33">
        <v>0.08</v>
      </c>
      <c r="G94" s="31">
        <f t="shared" si="28"/>
        <v>700</v>
      </c>
      <c r="H94" s="29">
        <f t="shared" si="29"/>
        <v>215.7455076164384</v>
      </c>
      <c r="I94" s="29">
        <f t="shared" si="30"/>
        <v>2019.8846422443157</v>
      </c>
      <c r="J94" s="63">
        <f t="shared" si="31"/>
        <v>9.3623485585403383</v>
      </c>
      <c r="K94" s="9">
        <f t="shared" si="26"/>
        <v>1.7417316345205693E-2</v>
      </c>
      <c r="L94" s="38">
        <f t="shared" si="32"/>
        <v>2.8855494889204509</v>
      </c>
    </row>
    <row r="95" spans="2:12" ht="15">
      <c r="B95" s="20" t="s">
        <v>27</v>
      </c>
      <c r="C95" s="22" t="s">
        <v>164</v>
      </c>
      <c r="D95" s="19" t="str">
        <f>HLOOKUP(B95,Customização!$C$4:$BD$10,TAB.REMUNERAÇÃO!$M$16+1,FALSE)</f>
        <v>SIM</v>
      </c>
      <c r="E95" s="20" t="s">
        <v>5</v>
      </c>
      <c r="F95" s="33">
        <v>0.08</v>
      </c>
      <c r="G95" s="31">
        <f t="shared" si="28"/>
        <v>700</v>
      </c>
      <c r="H95" s="29">
        <f t="shared" si="29"/>
        <v>215.7455076164384</v>
      </c>
      <c r="I95" s="29">
        <f t="shared" si="30"/>
        <v>2019.8846422443157</v>
      </c>
      <c r="J95" s="63">
        <f t="shared" si="31"/>
        <v>9.3623485585403383</v>
      </c>
      <c r="K95" s="9">
        <f t="shared" si="26"/>
        <v>1.7417316345205693E-2</v>
      </c>
      <c r="L95" s="38">
        <f t="shared" si="32"/>
        <v>2.8855494889204509</v>
      </c>
    </row>
    <row r="96" spans="2:12" ht="15">
      <c r="B96" s="20" t="s">
        <v>26</v>
      </c>
      <c r="C96" s="22" t="s">
        <v>25</v>
      </c>
      <c r="D96" s="19" t="str">
        <f>HLOOKUP(B96,Customização!$C$4:$BD$10,TAB.REMUNERAÇÃO!$M$16+1,FALSE)</f>
        <v>SIM</v>
      </c>
      <c r="E96" s="20" t="s">
        <v>5</v>
      </c>
      <c r="F96" s="33">
        <v>0.08</v>
      </c>
      <c r="G96" s="31">
        <f t="shared" si="28"/>
        <v>700</v>
      </c>
      <c r="H96" s="29">
        <f t="shared" si="29"/>
        <v>215.7455076164384</v>
      </c>
      <c r="I96" s="29">
        <f t="shared" si="30"/>
        <v>2019.8846422443157</v>
      </c>
      <c r="J96" s="63">
        <f t="shared" si="31"/>
        <v>9.3623485585403383</v>
      </c>
      <c r="K96" s="9">
        <f t="shared" si="26"/>
        <v>1.7417316345205693E-2</v>
      </c>
      <c r="L96" s="38">
        <f t="shared" si="32"/>
        <v>2.8855494889204509</v>
      </c>
    </row>
    <row r="97" spans="2:12" ht="27.75" customHeight="1">
      <c r="B97" s="20" t="s">
        <v>24</v>
      </c>
      <c r="C97" s="22" t="s">
        <v>23</v>
      </c>
      <c r="D97" s="19" t="str">
        <f>HLOOKUP(B97,Customização!$C$4:$BD$10,TAB.REMUNERAÇÃO!$M$16+1,FALSE)</f>
        <v>SIM</v>
      </c>
      <c r="E97" s="20" t="s">
        <v>5</v>
      </c>
      <c r="F97" s="33">
        <v>0.03</v>
      </c>
      <c r="G97" s="31">
        <f t="shared" si="28"/>
        <v>700</v>
      </c>
      <c r="H97" s="29">
        <f t="shared" si="29"/>
        <v>215.7455076164384</v>
      </c>
      <c r="I97" s="29">
        <f t="shared" si="30"/>
        <v>757.45674084161828</v>
      </c>
      <c r="J97" s="63">
        <f t="shared" si="31"/>
        <v>3.5108807094526266</v>
      </c>
      <c r="K97" s="9">
        <f t="shared" si="26"/>
        <v>6.5314936294521338E-3</v>
      </c>
      <c r="L97" s="38">
        <f t="shared" si="32"/>
        <v>1.082081058345169</v>
      </c>
    </row>
    <row r="98" spans="2:12" ht="27.75" customHeight="1">
      <c r="B98" s="70" t="s">
        <v>223</v>
      </c>
      <c r="C98" s="71" t="s">
        <v>224</v>
      </c>
      <c r="D98" s="68" t="s">
        <v>173</v>
      </c>
      <c r="E98" s="70" t="s">
        <v>225</v>
      </c>
      <c r="F98" s="33">
        <v>0.05</v>
      </c>
      <c r="G98" s="56">
        <v>0</v>
      </c>
      <c r="H98" s="29">
        <f t="shared" si="29"/>
        <v>215.7455076164384</v>
      </c>
      <c r="I98" s="29">
        <f t="shared" si="30"/>
        <v>0</v>
      </c>
      <c r="J98" s="63">
        <f t="shared" si="31"/>
        <v>0</v>
      </c>
      <c r="K98" s="9">
        <f t="shared" si="26"/>
        <v>0</v>
      </c>
      <c r="L98" s="38">
        <f t="shared" si="32"/>
        <v>0</v>
      </c>
    </row>
    <row r="99" spans="2:12" ht="15">
      <c r="B99" s="21"/>
      <c r="C99" s="22"/>
      <c r="D99" s="21"/>
      <c r="E99" s="21"/>
      <c r="F99" s="34"/>
      <c r="G99" s="21"/>
      <c r="H99" s="21"/>
      <c r="I99" s="21"/>
      <c r="J99" s="65"/>
      <c r="K99" s="9"/>
      <c r="L99" s="8"/>
    </row>
    <row r="100" spans="2:12" ht="15">
      <c r="B100" s="39" t="s">
        <v>103</v>
      </c>
      <c r="C100" s="40" t="s">
        <v>111</v>
      </c>
      <c r="D100" s="39"/>
      <c r="E100" s="39"/>
      <c r="F100" s="41"/>
      <c r="G100" s="39"/>
      <c r="H100" s="39"/>
      <c r="I100" s="42">
        <f>SUM(I101:I107)</f>
        <v>10604.394371782659</v>
      </c>
      <c r="J100" s="64">
        <f>SUM(J101:J107)</f>
        <v>49.152329932336777</v>
      </c>
      <c r="K100" s="43">
        <f t="shared" ref="K100:K107" si="33">IF(CUSTO_TOTAL&gt;0,I100/$I$117,0)</f>
        <v>9.1440910812329898E-2</v>
      </c>
      <c r="L100" s="42">
        <f>SUM(L101:L107)</f>
        <v>15.149134816832367</v>
      </c>
    </row>
    <row r="101" spans="2:12" ht="28.5">
      <c r="B101" s="20" t="s">
        <v>20</v>
      </c>
      <c r="C101" s="22" t="s">
        <v>101</v>
      </c>
      <c r="D101" s="19" t="str">
        <f>HLOOKUP(B101,Customização!$C$4:$BD$10,TAB.REMUNERAÇÃO!$M$16+1,FALSE)</f>
        <v>SIM</v>
      </c>
      <c r="E101" s="20" t="s">
        <v>8</v>
      </c>
      <c r="F101" s="33">
        <v>0.28000000000000003</v>
      </c>
      <c r="G101" s="31">
        <f t="shared" ref="G101:G107" si="34">APD+APT</f>
        <v>700</v>
      </c>
      <c r="H101" s="29">
        <f t="shared" ref="H101:H107" si="35">$D$10</f>
        <v>215.7455076164384</v>
      </c>
      <c r="I101" s="29">
        <f>IF(AND(G101&gt;0,D101="SIM"),F101*(8/G101)^0.4*G101*H101,0)</f>
        <v>7069.5962478551055</v>
      </c>
      <c r="J101" s="63">
        <f t="shared" ref="J101:J107" si="36">I101/H101</f>
        <v>32.768219954891187</v>
      </c>
      <c r="K101" s="9">
        <f t="shared" si="33"/>
        <v>6.0960607208219927E-2</v>
      </c>
      <c r="L101" s="38">
        <f t="shared" ref="L101:L107" si="37">IF(G101&gt;0,I101/G101,0)</f>
        <v>10.099423211221579</v>
      </c>
    </row>
    <row r="102" spans="2:12" ht="15">
      <c r="B102" s="20" t="s">
        <v>19</v>
      </c>
      <c r="C102" s="22" t="s">
        <v>100</v>
      </c>
      <c r="D102" s="19" t="str">
        <f>HLOOKUP(B102,Customização!$C$4:$BD$10,TAB.REMUNERAÇÃO!$M$16+1,FALSE)</f>
        <v>NÃO</v>
      </c>
      <c r="E102" s="20" t="s">
        <v>8</v>
      </c>
      <c r="F102" s="33">
        <v>0.36</v>
      </c>
      <c r="G102" s="31">
        <f t="shared" si="34"/>
        <v>700</v>
      </c>
      <c r="H102" s="29">
        <f t="shared" si="35"/>
        <v>215.7455076164384</v>
      </c>
      <c r="I102" s="29">
        <f t="shared" ref="I102:I107" si="38">IF(AND(G102&gt;0,D102="SIM"),F102*(8/G102)^0.4*G102*H102,0)</f>
        <v>0</v>
      </c>
      <c r="J102" s="63">
        <f t="shared" si="36"/>
        <v>0</v>
      </c>
      <c r="K102" s="9">
        <f t="shared" si="33"/>
        <v>0</v>
      </c>
      <c r="L102" s="38">
        <f t="shared" si="37"/>
        <v>0</v>
      </c>
    </row>
    <row r="103" spans="2:12" ht="15">
      <c r="B103" s="20" t="s">
        <v>18</v>
      </c>
      <c r="C103" s="22" t="s">
        <v>17</v>
      </c>
      <c r="D103" s="19" t="str">
        <f>HLOOKUP(B103,Customização!$C$4:$BD$10,TAB.REMUNERAÇÃO!$M$16+1,FALSE)</f>
        <v>SIM</v>
      </c>
      <c r="E103" s="20" t="s">
        <v>8</v>
      </c>
      <c r="F103" s="33">
        <v>0.12</v>
      </c>
      <c r="G103" s="31">
        <f t="shared" si="34"/>
        <v>700</v>
      </c>
      <c r="H103" s="29">
        <f t="shared" si="35"/>
        <v>215.7455076164384</v>
      </c>
      <c r="I103" s="29">
        <f t="shared" si="38"/>
        <v>3029.8269633664731</v>
      </c>
      <c r="J103" s="63">
        <f t="shared" si="36"/>
        <v>14.043522837810507</v>
      </c>
      <c r="K103" s="9">
        <f t="shared" si="33"/>
        <v>2.6125974517808535E-2</v>
      </c>
      <c r="L103" s="38">
        <f t="shared" si="37"/>
        <v>4.328324233380676</v>
      </c>
    </row>
    <row r="104" spans="2:12" ht="15">
      <c r="B104" s="20" t="s">
        <v>16</v>
      </c>
      <c r="C104" s="22" t="s">
        <v>15</v>
      </c>
      <c r="D104" s="19" t="str">
        <f>HLOOKUP(B104,Customização!$C$4:$BD$10,TAB.REMUNERAÇÃO!$M$16+1,FALSE)</f>
        <v>NÃO</v>
      </c>
      <c r="E104" s="20" t="s">
        <v>8</v>
      </c>
      <c r="F104" s="33">
        <v>0.08</v>
      </c>
      <c r="G104" s="31">
        <f t="shared" si="34"/>
        <v>700</v>
      </c>
      <c r="H104" s="29">
        <f t="shared" si="35"/>
        <v>215.7455076164384</v>
      </c>
      <c r="I104" s="29">
        <f t="shared" si="38"/>
        <v>0</v>
      </c>
      <c r="J104" s="63">
        <f t="shared" si="36"/>
        <v>0</v>
      </c>
      <c r="K104" s="9">
        <f t="shared" si="33"/>
        <v>0</v>
      </c>
      <c r="L104" s="38">
        <f t="shared" si="37"/>
        <v>0</v>
      </c>
    </row>
    <row r="105" spans="2:12" ht="15">
      <c r="B105" s="20" t="s">
        <v>14</v>
      </c>
      <c r="C105" s="22" t="s">
        <v>13</v>
      </c>
      <c r="D105" s="19" t="str">
        <f>HLOOKUP(B105,Customização!$C$4:$BD$10,TAB.REMUNERAÇÃO!$M$16+1,FALSE)</f>
        <v>NÃO</v>
      </c>
      <c r="E105" s="20" t="s">
        <v>8</v>
      </c>
      <c r="F105" s="33">
        <v>0.64</v>
      </c>
      <c r="G105" s="31">
        <f t="shared" si="34"/>
        <v>700</v>
      </c>
      <c r="H105" s="29">
        <f t="shared" si="35"/>
        <v>215.7455076164384</v>
      </c>
      <c r="I105" s="29">
        <f t="shared" si="38"/>
        <v>0</v>
      </c>
      <c r="J105" s="63">
        <f t="shared" si="36"/>
        <v>0</v>
      </c>
      <c r="K105" s="9">
        <f t="shared" si="33"/>
        <v>0</v>
      </c>
      <c r="L105" s="38">
        <f t="shared" si="37"/>
        <v>0</v>
      </c>
    </row>
    <row r="106" spans="2:12" ht="15">
      <c r="B106" s="20" t="s">
        <v>12</v>
      </c>
      <c r="C106" s="22" t="s">
        <v>11</v>
      </c>
      <c r="D106" s="19" t="str">
        <f>HLOOKUP(B106,Customização!$C$4:$BD$10,TAB.REMUNERAÇÃO!$M$16+1,FALSE)</f>
        <v>NÃO</v>
      </c>
      <c r="E106" s="20" t="s">
        <v>8</v>
      </c>
      <c r="F106" s="33">
        <v>0.3</v>
      </c>
      <c r="G106" s="31">
        <f t="shared" si="34"/>
        <v>700</v>
      </c>
      <c r="H106" s="29">
        <f t="shared" si="35"/>
        <v>215.7455076164384</v>
      </c>
      <c r="I106" s="29">
        <f t="shared" si="38"/>
        <v>0</v>
      </c>
      <c r="J106" s="63">
        <f t="shared" si="36"/>
        <v>0</v>
      </c>
      <c r="K106" s="9">
        <f t="shared" si="33"/>
        <v>0</v>
      </c>
      <c r="L106" s="38">
        <f t="shared" si="37"/>
        <v>0</v>
      </c>
    </row>
    <row r="107" spans="2:12" ht="15">
      <c r="B107" s="20" t="s">
        <v>10</v>
      </c>
      <c r="C107" s="22" t="s">
        <v>9</v>
      </c>
      <c r="D107" s="19" t="str">
        <f>HLOOKUP(B107,Customização!$C$4:$BD$10,TAB.REMUNERAÇÃO!$M$16+1,FALSE)</f>
        <v>SIM</v>
      </c>
      <c r="E107" s="20" t="s">
        <v>8</v>
      </c>
      <c r="F107" s="33">
        <v>0.02</v>
      </c>
      <c r="G107" s="31">
        <f t="shared" si="34"/>
        <v>700</v>
      </c>
      <c r="H107" s="29">
        <f t="shared" si="35"/>
        <v>215.7455076164384</v>
      </c>
      <c r="I107" s="29">
        <f t="shared" si="38"/>
        <v>504.97116056107893</v>
      </c>
      <c r="J107" s="63">
        <f t="shared" si="36"/>
        <v>2.3405871396350846</v>
      </c>
      <c r="K107" s="9">
        <f t="shared" si="33"/>
        <v>4.3543290863014231E-3</v>
      </c>
      <c r="L107" s="38">
        <f t="shared" si="37"/>
        <v>0.72138737223011273</v>
      </c>
    </row>
    <row r="108" spans="2:12" ht="15">
      <c r="B108" s="21"/>
      <c r="C108" s="22"/>
      <c r="D108" s="21"/>
      <c r="E108" s="21"/>
      <c r="F108" s="34"/>
      <c r="G108" s="21"/>
      <c r="H108" s="21"/>
      <c r="I108" s="21"/>
      <c r="J108" s="65"/>
      <c r="K108" s="9"/>
      <c r="L108" s="8"/>
    </row>
    <row r="109" spans="2:12" ht="15">
      <c r="B109" s="14" t="s">
        <v>113</v>
      </c>
      <c r="C109" s="15" t="s">
        <v>210</v>
      </c>
      <c r="D109" s="14"/>
      <c r="E109" s="14"/>
      <c r="F109" s="16"/>
      <c r="G109" s="14"/>
      <c r="H109" s="14"/>
      <c r="I109" s="17">
        <f>SUM(I110:I110)</f>
        <v>0</v>
      </c>
      <c r="J109" s="62">
        <f>SUM(J110:J110)</f>
        <v>0</v>
      </c>
      <c r="K109" s="18">
        <f>IF(CUSTO_TOTAL&gt;0,I109/$I$117,0)</f>
        <v>0</v>
      </c>
      <c r="L109" s="17">
        <f>I109/AEQ</f>
        <v>0</v>
      </c>
    </row>
    <row r="110" spans="2:12" ht="15">
      <c r="B110" s="20" t="s">
        <v>112</v>
      </c>
      <c r="C110" s="22" t="s">
        <v>170</v>
      </c>
      <c r="D110" s="19" t="str">
        <f>HLOOKUP(B110,Customização!$C$4:$BD$10,TAB.REMUNERAÇÃO!$M$16+1,FALSE)</f>
        <v>SIM</v>
      </c>
      <c r="E110" s="20" t="s">
        <v>64</v>
      </c>
      <c r="F110" s="33">
        <v>0.125</v>
      </c>
      <c r="G110" s="56">
        <v>0</v>
      </c>
      <c r="H110" s="29">
        <f>$D$10</f>
        <v>215.7455076164384</v>
      </c>
      <c r="I110" s="29">
        <f>IF(AND(G110&gt;0,D110="SIM"),F110*(8/G110)^0.4*G110*H110,0)</f>
        <v>0</v>
      </c>
      <c r="J110" s="63">
        <f>I110/H110</f>
        <v>0</v>
      </c>
      <c r="K110" s="9">
        <f>IF(CUSTO_TOTAL&gt;0,I110/$I$117,0)</f>
        <v>0</v>
      </c>
      <c r="L110" s="38">
        <f>IF(G110&gt;0,I110/G110,0)</f>
        <v>0</v>
      </c>
    </row>
    <row r="111" spans="2:12" ht="15">
      <c r="B111" s="21"/>
      <c r="C111" s="22"/>
      <c r="D111" s="19"/>
      <c r="E111" s="19"/>
      <c r="F111" s="28"/>
      <c r="G111" s="31"/>
      <c r="H111" s="29"/>
      <c r="I111" s="29"/>
      <c r="J111" s="63"/>
      <c r="K111" s="9"/>
      <c r="L111" s="8"/>
    </row>
    <row r="112" spans="2:12" ht="15">
      <c r="B112" s="21"/>
      <c r="C112" s="22"/>
      <c r="D112" s="21"/>
      <c r="E112" s="21"/>
      <c r="F112" s="34"/>
      <c r="G112" s="21"/>
      <c r="H112" s="21"/>
      <c r="I112" s="21"/>
      <c r="J112" s="65"/>
      <c r="K112" s="9"/>
      <c r="L112" s="8"/>
    </row>
    <row r="113" spans="2:14" ht="15">
      <c r="B113" s="14" t="s">
        <v>75</v>
      </c>
      <c r="C113" s="15" t="s">
        <v>206</v>
      </c>
      <c r="D113" s="14"/>
      <c r="E113" s="14"/>
      <c r="F113" s="16"/>
      <c r="G113" s="14"/>
      <c r="H113" s="14"/>
      <c r="I113" s="17">
        <f>SUM(I114:I115)</f>
        <v>6193.5673359872217</v>
      </c>
      <c r="J113" s="62">
        <f>SUM(J114:J115)</f>
        <v>29.257339245438555</v>
      </c>
      <c r="K113" s="18">
        <f>IF(CUSTO_TOTAL&gt;0,I113/$I$117,0)</f>
        <v>5.3406674490262415E-2</v>
      </c>
      <c r="L113" s="17">
        <f>I113/AEQ</f>
        <v>8.8479533371246024</v>
      </c>
    </row>
    <row r="114" spans="2:14" ht="57">
      <c r="B114" s="20" t="s">
        <v>7</v>
      </c>
      <c r="C114" s="22" t="s">
        <v>165</v>
      </c>
      <c r="D114" s="19" t="str">
        <f>HLOOKUP(B114,Customização!$C$4:$BD$10,TAB.REMUNERAÇÃO!$M$16+1,FALSE)</f>
        <v>SIM</v>
      </c>
      <c r="E114" s="20" t="s">
        <v>5</v>
      </c>
      <c r="F114" s="33">
        <v>0.125</v>
      </c>
      <c r="G114" s="31">
        <f>VLOOKUP(E114,$B$14:$F$25,5,FALSE)</f>
        <v>700</v>
      </c>
      <c r="H114" s="29">
        <f>$D$11</f>
        <v>211.69277506849318</v>
      </c>
      <c r="I114" s="29">
        <f>IF(AND(G114&gt;0,D114="SIM"),F114*(8/G114)^0.4*G114*H114,0)</f>
        <v>3096.7836679936108</v>
      </c>
      <c r="J114" s="63">
        <f t="shared" ref="J114:J115" si="39">I114/H114</f>
        <v>14.628669622719277</v>
      </c>
      <c r="K114" s="9">
        <f>IF(CUSTO_TOTAL&gt;0,I114/$I$117,0)</f>
        <v>2.6703337245131208E-2</v>
      </c>
      <c r="L114" s="38">
        <f>IF(G114&gt;0,I114/G114,0)</f>
        <v>4.4239766685623012</v>
      </c>
    </row>
    <row r="115" spans="2:14" ht="28.5">
      <c r="B115" s="20" t="s">
        <v>6</v>
      </c>
      <c r="C115" s="22" t="s">
        <v>94</v>
      </c>
      <c r="D115" s="19" t="str">
        <f>HLOOKUP(B115,Customização!$C$4:$BD$10,TAB.REMUNERAÇÃO!$M$16+1,FALSE)</f>
        <v>SIM</v>
      </c>
      <c r="E115" s="20" t="s">
        <v>5</v>
      </c>
      <c r="F115" s="33">
        <v>0.125</v>
      </c>
      <c r="G115" s="31">
        <f>VLOOKUP(E115,$B$14:$F$25,5,FALSE)</f>
        <v>700</v>
      </c>
      <c r="H115" s="29">
        <f>$D$11</f>
        <v>211.69277506849318</v>
      </c>
      <c r="I115" s="29">
        <f>IF(AND(G115&gt;0,D115="SIM"),F115*(8/G115)^0.4*G115*H115,0)</f>
        <v>3096.7836679936108</v>
      </c>
      <c r="J115" s="63">
        <f t="shared" si="39"/>
        <v>14.628669622719277</v>
      </c>
      <c r="K115" s="9">
        <f>IF(CUSTO_TOTAL&gt;0,I115/$I$117,0)</f>
        <v>2.6703337245131208E-2</v>
      </c>
      <c r="L115" s="38">
        <f>IF(G115&gt;0,I115/G115,0)</f>
        <v>4.4239766685623012</v>
      </c>
    </row>
    <row r="116" spans="2:14" ht="15">
      <c r="B116" s="21"/>
      <c r="C116" s="22"/>
      <c r="D116" s="21"/>
      <c r="E116" s="21"/>
      <c r="F116" s="34"/>
      <c r="G116" s="21"/>
      <c r="H116" s="21"/>
      <c r="I116" s="21"/>
      <c r="J116" s="65"/>
      <c r="K116" s="9"/>
      <c r="L116" s="8"/>
    </row>
    <row r="117" spans="2:14" ht="15">
      <c r="B117" s="5"/>
      <c r="C117" s="7" t="s">
        <v>4</v>
      </c>
      <c r="D117" s="5"/>
      <c r="E117" s="5"/>
      <c r="F117" s="6"/>
      <c r="G117" s="5"/>
      <c r="H117" s="5"/>
      <c r="I117" s="3">
        <f>I33+I36+I39+I51+I64+I109+I113</f>
        <v>115969.91190897851</v>
      </c>
      <c r="J117" s="67">
        <f>J33+J36+J39+J51+J64+J109+J113</f>
        <v>690.88979457040227</v>
      </c>
      <c r="K117" s="4">
        <f>IF(CUSTO_TOTAL&gt;0,I117/$I$117,0)</f>
        <v>1</v>
      </c>
      <c r="L117" s="3">
        <f>I117/AEQ</f>
        <v>165.67130272711216</v>
      </c>
      <c r="N117" s="30">
        <f>I117/J117</f>
        <v>167.85587632118524</v>
      </c>
    </row>
    <row r="119" spans="2:14" ht="15">
      <c r="I119" s="2" t="s">
        <v>2</v>
      </c>
      <c r="J119" s="1">
        <f>I117/(APD+APT+AGR)</f>
        <v>165.67130272711216</v>
      </c>
      <c r="K119" s="23" t="s">
        <v>1</v>
      </c>
    </row>
    <row r="120" spans="2:14" ht="15">
      <c r="I120" s="54"/>
      <c r="J120" s="55"/>
    </row>
    <row r="121" spans="2:14">
      <c r="I121" s="23" t="s">
        <v>3</v>
      </c>
      <c r="J121" s="24">
        <v>2500</v>
      </c>
    </row>
    <row r="122" spans="2:14">
      <c r="I122" s="23" t="s">
        <v>0</v>
      </c>
      <c r="J122" s="35">
        <f>J119/$J$121</f>
        <v>6.626852109084487E-2</v>
      </c>
    </row>
  </sheetData>
  <scenarios current="1" show="0" sqref="J33 J36 J39 J50 J63 J107 J110 J113 J117 I117">
    <scenario name="FORMOSA" locked="1" count="8" user="Reinaldo de Sa Moreira e Silva  " comment="Criado por Reinaldo de Sa Moreira e Silva   em 27/03/2018">
      <inputCells r="F15" val="2600" numFmtId="165"/>
      <inputCells r="F16" val="796" numFmtId="165"/>
      <inputCells r="F19" val="796" numFmtId="165"/>
      <inputCells r="F20" val="0" numFmtId="165"/>
      <inputCells r="F21" val="300" numFmtId="165"/>
      <inputCells r="C28" val="OBRA CONVENCIONAL"/>
      <inputCells r="G69" val="0" numFmtId="165"/>
      <inputCells r="G110" val="0" numFmtId="165"/>
    </scenario>
    <scenario name="RIO VERDE" locked="1" count="8" user="Reinaldo de Sa Moreira e Silva  " comment="Criado por Reinaldo de Sa Moreira e Silva   em 27/03/2018">
      <inputCells r="F15" val="7000" numFmtId="165"/>
      <inputCells r="F16" val="4900" numFmtId="165"/>
      <inputCells r="F19" val="500" numFmtId="165"/>
      <inputCells r="F20" val="3000" numFmtId="165"/>
      <inputCells r="F21" val="1000" numFmtId="165"/>
      <inputCells r="C28" val="OBRA CONVENCIONAL"/>
      <inputCells r="G69" val="0" numFmtId="165"/>
      <inputCells r="G110" val="0" numFmtId="165"/>
    </scenario>
    <scenario name="GOIAS" locked="1" count="8" user="Reinaldo de Sa Moreira e Silva  " comment="Criado por Reinaldo de Sa Moreira e Silva   em 27/03/2018">
      <inputCells r="F15" val="2600" numFmtId="165"/>
      <inputCells r="F16" val="800" numFmtId="165"/>
      <inputCells r="F19" val="800" numFmtId="165"/>
      <inputCells r="F20" val="0" numFmtId="165"/>
      <inputCells r="F21" val="1000" numFmtId="165"/>
      <inputCells r="C28" val="OBRA CONVENCIONAL"/>
      <inputCells r="G69" val="0" numFmtId="165"/>
      <inputCells r="G110" val="0" numFmtId="165"/>
    </scenario>
    <scenario name="REFORMA FORUM" locked="1" count="8" user="Reinaldo de Sa Moreira e Silva  " comment="Criado por Reinaldo de Sa Moreira e Silva   em 27/03/2018_x000a_Alterado por Reinaldo de Sa Moreira e Silva   em 27/03/2018">
      <inputCells r="F15" val="0" numFmtId="165"/>
      <inputCells r="F16" val="27000" numFmtId="165"/>
      <inputCells r="F19" val="27000" numFmtId="165"/>
      <inputCells r="F20" val="0" numFmtId="165"/>
      <inputCells r="F21" val="0" numFmtId="165"/>
      <inputCells r="C28" val="REFORMA + ORÇAMENTO"/>
      <inputCells r="G69" val="0" numFmtId="165"/>
      <inputCells r="G110" val="27000" numFmtId="165"/>
    </scenario>
    <scenario name="REFORMA IALBA" locked="1" count="8" user="Reinaldo de Sa Moreira e Silva  " comment="Criado por Reinaldo de Sa Moreira e Silva   em 27/03/2018">
      <inputCells r="F15" val="0" numFmtId="165"/>
      <inputCells r="F16" val="6884" numFmtId="165"/>
      <inputCells r="F19" val="6884" numFmtId="165"/>
      <inputCells r="F20" val="0" numFmtId="165"/>
      <inputCells r="F21" val="0" numFmtId="165"/>
      <inputCells r="C28" val="REFORMA + ORÇAMENTO"/>
      <inputCells r="G69" val="0" numFmtId="165"/>
      <inputCells r="G110" val="6884" numFmtId="165"/>
    </scenario>
    <scenario name="IMPERM FORUM" locked="1" count="8" user="Reinaldo de Sa Moreira e Silva  " comment="Criado por Reinaldo de Sa Moreira e Silva   em 27/03/2018">
      <inputCells r="F15" val="0" numFmtId="165"/>
      <inputCells r="F16" val="2200" numFmtId="165"/>
      <inputCells r="F19" val="2200" numFmtId="165"/>
      <inputCells r="F20" val="0" numFmtId="165"/>
      <inputCells r="F21" val="0" numFmtId="165"/>
      <inputCells r="C28" val="IMPERM + ORÇAMENTO"/>
      <inputCells r="G69" val="2200" numFmtId="165"/>
      <inputCells r="G110" val="0" numFmtId="165"/>
    </scenario>
    <scenario name="LAYOUT 100M2" locked="1" count="9" user="Reinaldo de Sa Moreira e Silva  " comment="Criado por Reinaldo de Sa Moreira e Silva   em 27/03/2018">
      <inputCells r="F15" val="0" numFmtId="165"/>
      <inputCells r="F16" val="0" numFmtId="165"/>
      <inputCells r="F19" val="0" numFmtId="165"/>
      <inputCells r="F20" val="0" numFmtId="165"/>
      <inputCells r="F21" val="0" numFmtId="165"/>
      <inputCells r="C28" val="APENAS LAYOUT"/>
      <inputCells r="G69" val="0" numFmtId="165"/>
      <inputCells r="G110" val="0" numFmtId="165"/>
      <inputCells r="G61" val="100" numFmtId="165"/>
    </scenario>
    <scenario name="LAYOUT 50 M2" locked="1" count="9" user="Reinaldo de Sa Moreira e Silva  " comment="Criado por Reinaldo de Sa Moreira e Silva   em 27/03/2018">
      <inputCells r="F15" val="0" numFmtId="165"/>
      <inputCells r="F16" val="0" numFmtId="165"/>
      <inputCells r="F19" val="0" numFmtId="165"/>
      <inputCells r="F20" val="0" numFmtId="165"/>
      <inputCells r="F21" val="0" numFmtId="165"/>
      <inputCells r="C28" val="APENAS LAYOUT"/>
      <inputCells r="G69" val="0" numFmtId="165"/>
      <inputCells r="G110" val="0" numFmtId="165"/>
      <inputCells r="G61" val="50" numFmtId="165"/>
    </scenario>
  </scenarios>
  <autoFilter ref="B31:L117"/>
  <dataConsolidate/>
  <mergeCells count="3">
    <mergeCell ref="B18:F18"/>
    <mergeCell ref="B14:F14"/>
    <mergeCell ref="B23:F23"/>
  </mergeCells>
  <pageMargins left="0.511811024" right="0.511811024" top="0.78740157499999996" bottom="0.78740157499999996" header="0.31496062000000002" footer="0.31496062000000002"/>
  <pageSetup paperSize="9" scale="5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Customização!$A$5:$A$19</xm:f>
          </x14:formula1>
          <xm:sqref>C28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"/>
  <sheetViews>
    <sheetView zoomScale="85" zoomScaleNormal="85" workbookViewId="0"/>
  </sheetViews>
  <sheetFormatPr defaultRowHeight="15"/>
  <cols>
    <col min="1" max="1" width="29" customWidth="1"/>
    <col min="2" max="2" width="4.85546875" customWidth="1"/>
    <col min="3" max="54" width="5.42578125" bestFit="1" customWidth="1"/>
    <col min="55" max="56" width="4.42578125" bestFit="1" customWidth="1"/>
  </cols>
  <sheetData>
    <row r="1" spans="1:56" ht="18.75">
      <c r="A1" s="53" t="s">
        <v>202</v>
      </c>
    </row>
    <row r="2" spans="1:56">
      <c r="A2" s="78" t="s">
        <v>203</v>
      </c>
      <c r="B2" s="79"/>
      <c r="C2" s="79"/>
      <c r="D2" s="79"/>
      <c r="E2" s="79"/>
    </row>
    <row r="4" spans="1:56" ht="78.75" customHeight="1">
      <c r="C4" s="46" t="s">
        <v>52</v>
      </c>
      <c r="D4" s="46" t="s">
        <v>104</v>
      </c>
      <c r="E4" s="46" t="s">
        <v>50</v>
      </c>
      <c r="F4" s="46" t="s">
        <v>134</v>
      </c>
      <c r="G4" s="46" t="s">
        <v>135</v>
      </c>
      <c r="H4" s="46" t="s">
        <v>136</v>
      </c>
      <c r="I4" s="46" t="s">
        <v>137</v>
      </c>
      <c r="J4" s="46" t="s">
        <v>138</v>
      </c>
      <c r="K4" s="46" t="s">
        <v>139</v>
      </c>
      <c r="L4" s="46" t="s">
        <v>141</v>
      </c>
      <c r="M4" s="46" t="s">
        <v>142</v>
      </c>
      <c r="N4" s="46" t="s">
        <v>49</v>
      </c>
      <c r="O4" s="46" t="s">
        <v>48</v>
      </c>
      <c r="P4" s="46" t="s">
        <v>47</v>
      </c>
      <c r="Q4" s="46" t="s">
        <v>46</v>
      </c>
      <c r="R4" s="46" t="s">
        <v>178</v>
      </c>
      <c r="S4" s="46" t="s">
        <v>161</v>
      </c>
      <c r="T4" s="46" t="s">
        <v>45</v>
      </c>
      <c r="U4" s="46" t="s">
        <v>44</v>
      </c>
      <c r="V4" s="46" t="s">
        <v>43</v>
      </c>
      <c r="W4" s="46" t="s">
        <v>42</v>
      </c>
      <c r="X4" s="46" t="s">
        <v>109</v>
      </c>
      <c r="Y4" s="46" t="s">
        <v>117</v>
      </c>
      <c r="Z4" s="46" t="s">
        <v>95</v>
      </c>
      <c r="AA4" s="46" t="s">
        <v>96</v>
      </c>
      <c r="AB4" s="46" t="s">
        <v>97</v>
      </c>
      <c r="AC4" s="46" t="s">
        <v>98</v>
      </c>
      <c r="AD4" s="46" t="s">
        <v>99</v>
      </c>
      <c r="AE4" s="46" t="s">
        <v>120</v>
      </c>
      <c r="AF4" s="46" t="s">
        <v>121</v>
      </c>
      <c r="AG4" s="46" t="s">
        <v>122</v>
      </c>
      <c r="AH4" s="46" t="s">
        <v>123</v>
      </c>
      <c r="AI4" s="46" t="s">
        <v>124</v>
      </c>
      <c r="AJ4" s="46" t="s">
        <v>125</v>
      </c>
      <c r="AK4" s="46" t="s">
        <v>157</v>
      </c>
      <c r="AL4" s="46" t="s">
        <v>33</v>
      </c>
      <c r="AM4" s="46" t="s">
        <v>32</v>
      </c>
      <c r="AN4" s="46" t="s">
        <v>31</v>
      </c>
      <c r="AO4" s="46" t="s">
        <v>30</v>
      </c>
      <c r="AP4" s="46" t="s">
        <v>29</v>
      </c>
      <c r="AQ4" s="46" t="s">
        <v>27</v>
      </c>
      <c r="AR4" s="46" t="s">
        <v>26</v>
      </c>
      <c r="AS4" s="46" t="s">
        <v>24</v>
      </c>
      <c r="AT4" s="46" t="s">
        <v>20</v>
      </c>
      <c r="AU4" s="46" t="s">
        <v>19</v>
      </c>
      <c r="AV4" s="46" t="s">
        <v>18</v>
      </c>
      <c r="AW4" s="46" t="s">
        <v>16</v>
      </c>
      <c r="AX4" s="46" t="s">
        <v>14</v>
      </c>
      <c r="AY4" s="46" t="s">
        <v>12</v>
      </c>
      <c r="AZ4" s="46" t="s">
        <v>10</v>
      </c>
      <c r="BA4" s="46" t="s">
        <v>112</v>
      </c>
      <c r="BB4" s="46" t="s">
        <v>93</v>
      </c>
      <c r="BC4" s="46" t="s">
        <v>7</v>
      </c>
      <c r="BD4" s="46" t="s">
        <v>6</v>
      </c>
    </row>
    <row r="5" spans="1:56">
      <c r="A5" s="47" t="s">
        <v>184</v>
      </c>
      <c r="B5" s="47" t="s">
        <v>188</v>
      </c>
      <c r="C5" s="19" t="s">
        <v>172</v>
      </c>
      <c r="D5" s="19" t="s">
        <v>172</v>
      </c>
      <c r="E5" s="19" t="s">
        <v>173</v>
      </c>
      <c r="F5" s="19" t="s">
        <v>172</v>
      </c>
      <c r="G5" s="19" t="s">
        <v>172</v>
      </c>
      <c r="H5" s="19" t="s">
        <v>173</v>
      </c>
      <c r="I5" s="19" t="s">
        <v>173</v>
      </c>
      <c r="J5" s="19" t="s">
        <v>172</v>
      </c>
      <c r="K5" s="19" t="s">
        <v>173</v>
      </c>
      <c r="L5" s="19" t="s">
        <v>172</v>
      </c>
      <c r="M5" s="19" t="s">
        <v>173</v>
      </c>
      <c r="N5" s="19" t="s">
        <v>172</v>
      </c>
      <c r="O5" s="19" t="s">
        <v>172</v>
      </c>
      <c r="P5" s="19" t="s">
        <v>172</v>
      </c>
      <c r="Q5" s="19" t="s">
        <v>172</v>
      </c>
      <c r="R5" s="19" t="s">
        <v>173</v>
      </c>
      <c r="S5" s="19" t="s">
        <v>173</v>
      </c>
      <c r="T5" s="19" t="s">
        <v>173</v>
      </c>
      <c r="U5" s="19" t="s">
        <v>173</v>
      </c>
      <c r="V5" s="19" t="s">
        <v>173</v>
      </c>
      <c r="W5" s="19" t="s">
        <v>173</v>
      </c>
      <c r="X5" s="19" t="s">
        <v>172</v>
      </c>
      <c r="Y5" s="20" t="s">
        <v>172</v>
      </c>
      <c r="Z5" s="20" t="s">
        <v>172</v>
      </c>
      <c r="AA5" s="20" t="s">
        <v>172</v>
      </c>
      <c r="AB5" s="20" t="s">
        <v>172</v>
      </c>
      <c r="AC5" s="20" t="s">
        <v>172</v>
      </c>
      <c r="AD5" s="20" t="s">
        <v>172</v>
      </c>
      <c r="AE5" s="20" t="s">
        <v>172</v>
      </c>
      <c r="AF5" s="20" t="s">
        <v>173</v>
      </c>
      <c r="AG5" s="20" t="s">
        <v>173</v>
      </c>
      <c r="AH5" s="20" t="s">
        <v>173</v>
      </c>
      <c r="AI5" s="20" t="s">
        <v>173</v>
      </c>
      <c r="AJ5" s="20" t="s">
        <v>172</v>
      </c>
      <c r="AK5" s="20" t="s">
        <v>172</v>
      </c>
      <c r="AL5" s="20" t="s">
        <v>172</v>
      </c>
      <c r="AM5" s="20" t="s">
        <v>173</v>
      </c>
      <c r="AN5" s="20" t="s">
        <v>172</v>
      </c>
      <c r="AO5" s="20" t="s">
        <v>172</v>
      </c>
      <c r="AP5" s="20" t="s">
        <v>172</v>
      </c>
      <c r="AQ5" s="20" t="s">
        <v>172</v>
      </c>
      <c r="AR5" s="20" t="s">
        <v>172</v>
      </c>
      <c r="AS5" s="20" t="s">
        <v>172</v>
      </c>
      <c r="AT5" s="20" t="s">
        <v>172</v>
      </c>
      <c r="AU5" s="20" t="s">
        <v>173</v>
      </c>
      <c r="AV5" s="20" t="s">
        <v>172</v>
      </c>
      <c r="AW5" s="20" t="s">
        <v>173</v>
      </c>
      <c r="AX5" s="20" t="s">
        <v>173</v>
      </c>
      <c r="AY5" s="20" t="s">
        <v>173</v>
      </c>
      <c r="AZ5" s="20" t="s">
        <v>172</v>
      </c>
      <c r="BA5" s="20" t="s">
        <v>172</v>
      </c>
      <c r="BB5" s="20" t="s">
        <v>172</v>
      </c>
      <c r="BC5" s="20" t="s">
        <v>172</v>
      </c>
      <c r="BD5" s="20" t="s">
        <v>172</v>
      </c>
    </row>
    <row r="6" spans="1:56">
      <c r="A6" s="47" t="s">
        <v>183</v>
      </c>
      <c r="B6" s="47" t="s">
        <v>189</v>
      </c>
      <c r="C6" s="19" t="s">
        <v>173</v>
      </c>
      <c r="D6" s="19" t="s">
        <v>173</v>
      </c>
      <c r="E6" s="19" t="s">
        <v>173</v>
      </c>
      <c r="F6" s="19" t="s">
        <v>173</v>
      </c>
      <c r="G6" s="19" t="s">
        <v>173</v>
      </c>
      <c r="H6" s="19" t="s">
        <v>173</v>
      </c>
      <c r="I6" s="19" t="s">
        <v>173</v>
      </c>
      <c r="J6" s="19" t="s">
        <v>173</v>
      </c>
      <c r="K6" s="19" t="s">
        <v>173</v>
      </c>
      <c r="L6" s="19" t="s">
        <v>173</v>
      </c>
      <c r="M6" s="19" t="s">
        <v>173</v>
      </c>
      <c r="N6" s="19" t="s">
        <v>173</v>
      </c>
      <c r="O6" s="19" t="s">
        <v>173</v>
      </c>
      <c r="P6" s="19" t="s">
        <v>173</v>
      </c>
      <c r="Q6" s="19" t="s">
        <v>173</v>
      </c>
      <c r="R6" s="19" t="s">
        <v>173</v>
      </c>
      <c r="S6" s="19" t="s">
        <v>173</v>
      </c>
      <c r="T6" s="19" t="s">
        <v>173</v>
      </c>
      <c r="U6" s="19" t="s">
        <v>173</v>
      </c>
      <c r="V6" s="19" t="s">
        <v>173</v>
      </c>
      <c r="W6" s="19" t="s">
        <v>173</v>
      </c>
      <c r="X6" s="19" t="s">
        <v>173</v>
      </c>
      <c r="Y6" s="19" t="s">
        <v>173</v>
      </c>
      <c r="Z6" s="19" t="s">
        <v>173</v>
      </c>
      <c r="AA6" s="19" t="s">
        <v>173</v>
      </c>
      <c r="AB6" s="19" t="s">
        <v>173</v>
      </c>
      <c r="AC6" s="19" t="s">
        <v>173</v>
      </c>
      <c r="AD6" s="19" t="s">
        <v>173</v>
      </c>
      <c r="AE6" s="19" t="s">
        <v>173</v>
      </c>
      <c r="AF6" s="19" t="s">
        <v>173</v>
      </c>
      <c r="AG6" s="19" t="s">
        <v>173</v>
      </c>
      <c r="AH6" s="19" t="s">
        <v>173</v>
      </c>
      <c r="AI6" s="19" t="s">
        <v>173</v>
      </c>
      <c r="AJ6" s="19" t="s">
        <v>173</v>
      </c>
      <c r="AK6" s="19" t="s">
        <v>173</v>
      </c>
      <c r="AL6" s="19" t="s">
        <v>173</v>
      </c>
      <c r="AM6" s="19" t="s">
        <v>173</v>
      </c>
      <c r="AN6" s="19" t="s">
        <v>173</v>
      </c>
      <c r="AO6" s="19" t="s">
        <v>173</v>
      </c>
      <c r="AP6" s="19" t="s">
        <v>173</v>
      </c>
      <c r="AQ6" s="19" t="s">
        <v>173</v>
      </c>
      <c r="AR6" s="19" t="s">
        <v>173</v>
      </c>
      <c r="AS6" s="19" t="s">
        <v>173</v>
      </c>
      <c r="AT6" s="19" t="s">
        <v>173</v>
      </c>
      <c r="AU6" s="19" t="s">
        <v>173</v>
      </c>
      <c r="AV6" s="19" t="s">
        <v>173</v>
      </c>
      <c r="AW6" s="19" t="s">
        <v>173</v>
      </c>
      <c r="AX6" s="19" t="s">
        <v>173</v>
      </c>
      <c r="AY6" s="19" t="s">
        <v>173</v>
      </c>
      <c r="AZ6" s="19" t="s">
        <v>173</v>
      </c>
      <c r="BA6" s="19" t="s">
        <v>173</v>
      </c>
      <c r="BB6" s="19" t="s">
        <v>173</v>
      </c>
      <c r="BC6" s="19" t="s">
        <v>172</v>
      </c>
      <c r="BD6" s="19" t="s">
        <v>172</v>
      </c>
    </row>
    <row r="7" spans="1:56">
      <c r="A7" s="47" t="s">
        <v>186</v>
      </c>
      <c r="B7" s="47" t="s">
        <v>190</v>
      </c>
      <c r="C7" s="19" t="s">
        <v>173</v>
      </c>
      <c r="D7" s="19" t="s">
        <v>173</v>
      </c>
      <c r="E7" s="19" t="s">
        <v>173</v>
      </c>
      <c r="F7" s="19" t="s">
        <v>173</v>
      </c>
      <c r="G7" s="19" t="s">
        <v>173</v>
      </c>
      <c r="H7" s="19" t="s">
        <v>173</v>
      </c>
      <c r="I7" s="19" t="s">
        <v>173</v>
      </c>
      <c r="J7" s="19" t="s">
        <v>173</v>
      </c>
      <c r="K7" s="19" t="s">
        <v>173</v>
      </c>
      <c r="L7" s="19" t="s">
        <v>173</v>
      </c>
      <c r="M7" s="19" t="s">
        <v>173</v>
      </c>
      <c r="N7" s="19" t="s">
        <v>173</v>
      </c>
      <c r="O7" s="19" t="s">
        <v>173</v>
      </c>
      <c r="P7" s="19" t="s">
        <v>173</v>
      </c>
      <c r="Q7" s="19" t="s">
        <v>173</v>
      </c>
      <c r="R7" s="19" t="s">
        <v>173</v>
      </c>
      <c r="S7" s="19" t="s">
        <v>173</v>
      </c>
      <c r="T7" s="19" t="s">
        <v>173</v>
      </c>
      <c r="U7" s="19" t="s">
        <v>173</v>
      </c>
      <c r="V7" s="19" t="s">
        <v>173</v>
      </c>
      <c r="W7" s="19" t="s">
        <v>173</v>
      </c>
      <c r="X7" s="19" t="s">
        <v>173</v>
      </c>
      <c r="Y7" s="19" t="s">
        <v>173</v>
      </c>
      <c r="Z7" s="19" t="s">
        <v>173</v>
      </c>
      <c r="AA7" s="19" t="s">
        <v>173</v>
      </c>
      <c r="AB7" s="19" t="s">
        <v>173</v>
      </c>
      <c r="AC7" s="19" t="s">
        <v>173</v>
      </c>
      <c r="AD7" s="19" t="s">
        <v>173</v>
      </c>
      <c r="AE7" s="19" t="s">
        <v>173</v>
      </c>
      <c r="AF7" s="19" t="s">
        <v>173</v>
      </c>
      <c r="AG7" s="19" t="s">
        <v>173</v>
      </c>
      <c r="AH7" s="19" t="s">
        <v>173</v>
      </c>
      <c r="AI7" s="19" t="s">
        <v>173</v>
      </c>
      <c r="AJ7" s="19" t="s">
        <v>173</v>
      </c>
      <c r="AK7" s="19" t="s">
        <v>173</v>
      </c>
      <c r="AL7" s="19" t="s">
        <v>173</v>
      </c>
      <c r="AM7" s="19" t="s">
        <v>173</v>
      </c>
      <c r="AN7" s="19" t="s">
        <v>173</v>
      </c>
      <c r="AO7" s="19" t="s">
        <v>173</v>
      </c>
      <c r="AP7" s="19" t="s">
        <v>173</v>
      </c>
      <c r="AQ7" s="19" t="s">
        <v>173</v>
      </c>
      <c r="AR7" s="19" t="s">
        <v>173</v>
      </c>
      <c r="AS7" s="19" t="s">
        <v>173</v>
      </c>
      <c r="AT7" s="19" t="s">
        <v>173</v>
      </c>
      <c r="AU7" s="19" t="s">
        <v>173</v>
      </c>
      <c r="AV7" s="19" t="s">
        <v>173</v>
      </c>
      <c r="AW7" s="19" t="s">
        <v>173</v>
      </c>
      <c r="AX7" s="19" t="s">
        <v>173</v>
      </c>
      <c r="AY7" s="19" t="s">
        <v>173</v>
      </c>
      <c r="AZ7" s="19" t="s">
        <v>173</v>
      </c>
      <c r="BA7" s="19" t="s">
        <v>172</v>
      </c>
      <c r="BB7" s="19" t="s">
        <v>173</v>
      </c>
      <c r="BC7" s="19" t="s">
        <v>172</v>
      </c>
      <c r="BD7" s="19" t="s">
        <v>172</v>
      </c>
    </row>
    <row r="8" spans="1:56">
      <c r="A8" s="47" t="s">
        <v>187</v>
      </c>
      <c r="B8" s="47" t="s">
        <v>191</v>
      </c>
      <c r="C8" s="19" t="s">
        <v>173</v>
      </c>
      <c r="D8" s="19" t="s">
        <v>173</v>
      </c>
      <c r="E8" s="19" t="s">
        <v>173</v>
      </c>
      <c r="F8" s="19" t="s">
        <v>173</v>
      </c>
      <c r="G8" s="19" t="s">
        <v>173</v>
      </c>
      <c r="H8" s="19" t="s">
        <v>173</v>
      </c>
      <c r="I8" s="19" t="s">
        <v>173</v>
      </c>
      <c r="J8" s="19" t="s">
        <v>173</v>
      </c>
      <c r="K8" s="19" t="s">
        <v>173</v>
      </c>
      <c r="L8" s="19" t="s">
        <v>173</v>
      </c>
      <c r="M8" s="19" t="s">
        <v>173</v>
      </c>
      <c r="N8" s="19" t="s">
        <v>173</v>
      </c>
      <c r="O8" s="19" t="s">
        <v>173</v>
      </c>
      <c r="P8" s="19" t="s">
        <v>173</v>
      </c>
      <c r="Q8" s="19" t="s">
        <v>173</v>
      </c>
      <c r="R8" s="19" t="s">
        <v>173</v>
      </c>
      <c r="S8" s="19" t="s">
        <v>173</v>
      </c>
      <c r="T8" s="19" t="s">
        <v>173</v>
      </c>
      <c r="U8" s="19" t="s">
        <v>173</v>
      </c>
      <c r="V8" s="19" t="s">
        <v>173</v>
      </c>
      <c r="W8" s="19" t="s">
        <v>173</v>
      </c>
      <c r="X8" s="19" t="s">
        <v>173</v>
      </c>
      <c r="Y8" s="19" t="s">
        <v>172</v>
      </c>
      <c r="Z8" s="19" t="s">
        <v>173</v>
      </c>
      <c r="AA8" s="19" t="s">
        <v>173</v>
      </c>
      <c r="AB8" s="19" t="s">
        <v>173</v>
      </c>
      <c r="AC8" s="19" t="s">
        <v>173</v>
      </c>
      <c r="AD8" s="19" t="s">
        <v>173</v>
      </c>
      <c r="AE8" s="19" t="s">
        <v>173</v>
      </c>
      <c r="AF8" s="19" t="s">
        <v>173</v>
      </c>
      <c r="AG8" s="19" t="s">
        <v>173</v>
      </c>
      <c r="AH8" s="19" t="s">
        <v>173</v>
      </c>
      <c r="AI8" s="19" t="s">
        <v>173</v>
      </c>
      <c r="AJ8" s="19" t="s">
        <v>173</v>
      </c>
      <c r="AK8" s="19" t="s">
        <v>173</v>
      </c>
      <c r="AL8" s="19" t="s">
        <v>173</v>
      </c>
      <c r="AM8" s="19" t="s">
        <v>173</v>
      </c>
      <c r="AN8" s="19" t="s">
        <v>173</v>
      </c>
      <c r="AO8" s="19" t="s">
        <v>173</v>
      </c>
      <c r="AP8" s="19" t="s">
        <v>173</v>
      </c>
      <c r="AQ8" s="19" t="s">
        <v>173</v>
      </c>
      <c r="AR8" s="19" t="s">
        <v>173</v>
      </c>
      <c r="AS8" s="19" t="s">
        <v>173</v>
      </c>
      <c r="AT8" s="19" t="s">
        <v>173</v>
      </c>
      <c r="AU8" s="19" t="s">
        <v>173</v>
      </c>
      <c r="AV8" s="19" t="s">
        <v>173</v>
      </c>
      <c r="AW8" s="19" t="s">
        <v>173</v>
      </c>
      <c r="AX8" s="19" t="s">
        <v>173</v>
      </c>
      <c r="AY8" s="19" t="s">
        <v>173</v>
      </c>
      <c r="AZ8" s="19" t="s">
        <v>173</v>
      </c>
      <c r="BA8" s="19" t="s">
        <v>173</v>
      </c>
      <c r="BB8" s="19" t="s">
        <v>173</v>
      </c>
      <c r="BC8" s="19" t="s">
        <v>172</v>
      </c>
      <c r="BD8" s="19" t="s">
        <v>172</v>
      </c>
    </row>
    <row r="9" spans="1:56">
      <c r="A9" s="47" t="s">
        <v>185</v>
      </c>
      <c r="B9" s="47" t="s">
        <v>192</v>
      </c>
      <c r="C9" s="19" t="s">
        <v>173</v>
      </c>
      <c r="D9" s="19" t="s">
        <v>173</v>
      </c>
      <c r="E9" s="19" t="s">
        <v>173</v>
      </c>
      <c r="F9" s="19" t="s">
        <v>173</v>
      </c>
      <c r="G9" s="19" t="s">
        <v>173</v>
      </c>
      <c r="H9" s="19" t="s">
        <v>173</v>
      </c>
      <c r="I9" s="19" t="s">
        <v>173</v>
      </c>
      <c r="J9" s="19" t="s">
        <v>173</v>
      </c>
      <c r="K9" s="19" t="s">
        <v>173</v>
      </c>
      <c r="L9" s="19" t="s">
        <v>173</v>
      </c>
      <c r="M9" s="19" t="s">
        <v>173</v>
      </c>
      <c r="N9" s="19" t="s">
        <v>173</v>
      </c>
      <c r="O9" s="19" t="s">
        <v>173</v>
      </c>
      <c r="P9" s="19" t="s">
        <v>173</v>
      </c>
      <c r="Q9" s="19" t="s">
        <v>173</v>
      </c>
      <c r="R9" s="19" t="s">
        <v>173</v>
      </c>
      <c r="S9" s="19" t="s">
        <v>173</v>
      </c>
      <c r="T9" s="19" t="s">
        <v>173</v>
      </c>
      <c r="U9" s="19" t="s">
        <v>173</v>
      </c>
      <c r="V9" s="19" t="s">
        <v>173</v>
      </c>
      <c r="W9" s="19" t="s">
        <v>173</v>
      </c>
      <c r="X9" s="19" t="s">
        <v>173</v>
      </c>
      <c r="Y9" s="19" t="s">
        <v>173</v>
      </c>
      <c r="Z9" s="19" t="s">
        <v>173</v>
      </c>
      <c r="AA9" s="19" t="s">
        <v>173</v>
      </c>
      <c r="AB9" s="19" t="s">
        <v>173</v>
      </c>
      <c r="AC9" s="19" t="s">
        <v>173</v>
      </c>
      <c r="AD9" s="19" t="s">
        <v>173</v>
      </c>
      <c r="AE9" s="19" t="s">
        <v>173</v>
      </c>
      <c r="AF9" s="19" t="s">
        <v>173</v>
      </c>
      <c r="AG9" s="19" t="s">
        <v>173</v>
      </c>
      <c r="AH9" s="19" t="s">
        <v>173</v>
      </c>
      <c r="AI9" s="19" t="s">
        <v>173</v>
      </c>
      <c r="AJ9" s="19" t="s">
        <v>173</v>
      </c>
      <c r="AK9" s="19" t="s">
        <v>173</v>
      </c>
      <c r="AL9" s="19" t="s">
        <v>173</v>
      </c>
      <c r="AM9" s="19" t="s">
        <v>173</v>
      </c>
      <c r="AN9" s="19" t="s">
        <v>173</v>
      </c>
      <c r="AO9" s="19" t="s">
        <v>173</v>
      </c>
      <c r="AP9" s="19" t="s">
        <v>173</v>
      </c>
      <c r="AQ9" s="19" t="s">
        <v>173</v>
      </c>
      <c r="AR9" s="19" t="s">
        <v>173</v>
      </c>
      <c r="AS9" s="19" t="s">
        <v>173</v>
      </c>
      <c r="AT9" s="19" t="s">
        <v>173</v>
      </c>
      <c r="AU9" s="19" t="s">
        <v>173</v>
      </c>
      <c r="AV9" s="19" t="s">
        <v>173</v>
      </c>
      <c r="AW9" s="19" t="s">
        <v>173</v>
      </c>
      <c r="AX9" s="19" t="s">
        <v>173</v>
      </c>
      <c r="AY9" s="19" t="s">
        <v>173</v>
      </c>
      <c r="AZ9" s="19" t="s">
        <v>173</v>
      </c>
      <c r="BA9" s="19" t="s">
        <v>173</v>
      </c>
      <c r="BB9" s="19" t="s">
        <v>172</v>
      </c>
      <c r="BC9" s="19" t="s">
        <v>173</v>
      </c>
      <c r="BD9" s="19" t="s">
        <v>173</v>
      </c>
    </row>
    <row r="10" spans="1:56">
      <c r="A10" s="51" t="s">
        <v>199</v>
      </c>
      <c r="B10" s="47" t="s">
        <v>195</v>
      </c>
      <c r="C10" s="19" t="s">
        <v>173</v>
      </c>
      <c r="D10" s="19" t="s">
        <v>173</v>
      </c>
      <c r="E10" s="19" t="s">
        <v>173</v>
      </c>
      <c r="F10" s="19" t="s">
        <v>173</v>
      </c>
      <c r="G10" s="19" t="s">
        <v>173</v>
      </c>
      <c r="H10" s="19" t="s">
        <v>173</v>
      </c>
      <c r="I10" s="19" t="s">
        <v>173</v>
      </c>
      <c r="J10" s="19" t="s">
        <v>173</v>
      </c>
      <c r="K10" s="19" t="s">
        <v>173</v>
      </c>
      <c r="L10" s="19" t="s">
        <v>173</v>
      </c>
      <c r="M10" s="19" t="s">
        <v>173</v>
      </c>
      <c r="N10" s="19" t="s">
        <v>173</v>
      </c>
      <c r="O10" s="19" t="s">
        <v>173</v>
      </c>
      <c r="P10" s="19" t="s">
        <v>173</v>
      </c>
      <c r="Q10" s="19" t="s">
        <v>173</v>
      </c>
      <c r="R10" s="19" t="s">
        <v>173</v>
      </c>
      <c r="S10" s="19" t="s">
        <v>173</v>
      </c>
      <c r="T10" s="19" t="s">
        <v>173</v>
      </c>
      <c r="U10" s="19" t="s">
        <v>173</v>
      </c>
      <c r="V10" s="19" t="s">
        <v>172</v>
      </c>
      <c r="W10" s="19" t="s">
        <v>173</v>
      </c>
      <c r="X10" s="19" t="s">
        <v>173</v>
      </c>
      <c r="Y10" s="19" t="s">
        <v>173</v>
      </c>
      <c r="Z10" s="19" t="s">
        <v>173</v>
      </c>
      <c r="AA10" s="19" t="s">
        <v>173</v>
      </c>
      <c r="AB10" s="19" t="s">
        <v>173</v>
      </c>
      <c r="AC10" s="19" t="s">
        <v>173</v>
      </c>
      <c r="AD10" s="19" t="s">
        <v>173</v>
      </c>
      <c r="AE10" s="19" t="s">
        <v>173</v>
      </c>
      <c r="AF10" s="19" t="s">
        <v>173</v>
      </c>
      <c r="AG10" s="19" t="s">
        <v>173</v>
      </c>
      <c r="AH10" s="19" t="s">
        <v>173</v>
      </c>
      <c r="AI10" s="19" t="s">
        <v>173</v>
      </c>
      <c r="AJ10" s="19" t="s">
        <v>173</v>
      </c>
      <c r="AK10" s="19" t="s">
        <v>173</v>
      </c>
      <c r="AL10" s="19" t="s">
        <v>173</v>
      </c>
      <c r="AM10" s="19" t="s">
        <v>173</v>
      </c>
      <c r="AN10" s="19" t="s">
        <v>173</v>
      </c>
      <c r="AO10" s="19" t="s">
        <v>173</v>
      </c>
      <c r="AP10" s="19" t="s">
        <v>173</v>
      </c>
      <c r="AQ10" s="19" t="s">
        <v>173</v>
      </c>
      <c r="AR10" s="19" t="s">
        <v>173</v>
      </c>
      <c r="AS10" s="19" t="s">
        <v>173</v>
      </c>
      <c r="AT10" s="19" t="s">
        <v>173</v>
      </c>
      <c r="AU10" s="19" t="s">
        <v>173</v>
      </c>
      <c r="AV10" s="19" t="s">
        <v>173</v>
      </c>
      <c r="AW10" s="19" t="s">
        <v>173</v>
      </c>
      <c r="AX10" s="19" t="s">
        <v>173</v>
      </c>
      <c r="AY10" s="19" t="s">
        <v>173</v>
      </c>
      <c r="AZ10" s="19" t="s">
        <v>173</v>
      </c>
      <c r="BA10" s="19" t="s">
        <v>173</v>
      </c>
      <c r="BB10" s="19" t="s">
        <v>173</v>
      </c>
      <c r="BC10" s="19" t="s">
        <v>173</v>
      </c>
      <c r="BD10" s="19" t="s">
        <v>173</v>
      </c>
    </row>
    <row r="11" spans="1:56">
      <c r="A11" s="51" t="s">
        <v>200</v>
      </c>
      <c r="B11" s="47" t="s">
        <v>196</v>
      </c>
      <c r="C11" s="19" t="s">
        <v>173</v>
      </c>
      <c r="D11" s="19" t="s">
        <v>173</v>
      </c>
      <c r="E11" s="19" t="s">
        <v>173</v>
      </c>
      <c r="F11" s="19" t="s">
        <v>173</v>
      </c>
      <c r="G11" s="19" t="s">
        <v>173</v>
      </c>
      <c r="H11" s="19" t="s">
        <v>173</v>
      </c>
      <c r="I11" s="19" t="s">
        <v>173</v>
      </c>
      <c r="J11" s="19" t="s">
        <v>173</v>
      </c>
      <c r="K11" s="19" t="s">
        <v>173</v>
      </c>
      <c r="L11" s="19" t="s">
        <v>173</v>
      </c>
      <c r="M11" s="19" t="s">
        <v>173</v>
      </c>
      <c r="N11" s="19" t="s">
        <v>173</v>
      </c>
      <c r="O11" s="19" t="s">
        <v>173</v>
      </c>
      <c r="P11" s="19" t="s">
        <v>173</v>
      </c>
      <c r="Q11" s="19" t="s">
        <v>173</v>
      </c>
      <c r="R11" s="19" t="s">
        <v>173</v>
      </c>
      <c r="S11" s="19" t="s">
        <v>173</v>
      </c>
      <c r="T11" s="19" t="s">
        <v>173</v>
      </c>
      <c r="U11" s="19" t="s">
        <v>173</v>
      </c>
      <c r="V11" s="19" t="s">
        <v>173</v>
      </c>
      <c r="W11" s="19" t="s">
        <v>173</v>
      </c>
      <c r="X11" s="19" t="s">
        <v>173</v>
      </c>
      <c r="Y11" s="19" t="s">
        <v>173</v>
      </c>
      <c r="Z11" s="19" t="s">
        <v>173</v>
      </c>
      <c r="AA11" s="19" t="s">
        <v>173</v>
      </c>
      <c r="AB11" s="19" t="s">
        <v>173</v>
      </c>
      <c r="AC11" s="19" t="s">
        <v>173</v>
      </c>
      <c r="AD11" s="19" t="s">
        <v>173</v>
      </c>
      <c r="AE11" s="19" t="s">
        <v>173</v>
      </c>
      <c r="AF11" s="19" t="s">
        <v>173</v>
      </c>
      <c r="AG11" s="19" t="s">
        <v>173</v>
      </c>
      <c r="AH11" s="19" t="s">
        <v>173</v>
      </c>
      <c r="AI11" s="19" t="s">
        <v>173</v>
      </c>
      <c r="AJ11" s="19" t="s">
        <v>173</v>
      </c>
      <c r="AK11" s="19" t="s">
        <v>173</v>
      </c>
      <c r="AL11" s="19" t="s">
        <v>173</v>
      </c>
      <c r="AM11" s="19" t="s">
        <v>173</v>
      </c>
      <c r="AN11" s="19" t="s">
        <v>173</v>
      </c>
      <c r="AO11" s="19" t="s">
        <v>173</v>
      </c>
      <c r="AP11" s="19" t="s">
        <v>173</v>
      </c>
      <c r="AQ11" s="19" t="s">
        <v>173</v>
      </c>
      <c r="AR11" s="19" t="s">
        <v>173</v>
      </c>
      <c r="AS11" s="19" t="s">
        <v>173</v>
      </c>
      <c r="AT11" s="19" t="s">
        <v>173</v>
      </c>
      <c r="AU11" s="19" t="s">
        <v>173</v>
      </c>
      <c r="AV11" s="19" t="s">
        <v>173</v>
      </c>
      <c r="AW11" s="19" t="s">
        <v>173</v>
      </c>
      <c r="AX11" s="19" t="s">
        <v>173</v>
      </c>
      <c r="AY11" s="19" t="s">
        <v>173</v>
      </c>
      <c r="AZ11" s="19" t="s">
        <v>173</v>
      </c>
      <c r="BA11" s="19" t="s">
        <v>173</v>
      </c>
      <c r="BB11" s="19" t="s">
        <v>173</v>
      </c>
      <c r="BC11" s="19" t="s">
        <v>173</v>
      </c>
      <c r="BD11" s="19" t="s">
        <v>173</v>
      </c>
    </row>
    <row r="12" spans="1:56">
      <c r="A12" s="51" t="s">
        <v>200</v>
      </c>
      <c r="B12" s="47" t="s">
        <v>197</v>
      </c>
      <c r="C12" s="19" t="s">
        <v>173</v>
      </c>
      <c r="D12" s="19" t="s">
        <v>173</v>
      </c>
      <c r="E12" s="19" t="s">
        <v>173</v>
      </c>
      <c r="F12" s="19" t="s">
        <v>173</v>
      </c>
      <c r="G12" s="19" t="s">
        <v>173</v>
      </c>
      <c r="H12" s="19" t="s">
        <v>173</v>
      </c>
      <c r="I12" s="19" t="s">
        <v>173</v>
      </c>
      <c r="J12" s="19" t="s">
        <v>173</v>
      </c>
      <c r="K12" s="19" t="s">
        <v>173</v>
      </c>
      <c r="L12" s="19" t="s">
        <v>173</v>
      </c>
      <c r="M12" s="19" t="s">
        <v>173</v>
      </c>
      <c r="N12" s="19" t="s">
        <v>173</v>
      </c>
      <c r="O12" s="19" t="s">
        <v>173</v>
      </c>
      <c r="P12" s="19" t="s">
        <v>173</v>
      </c>
      <c r="Q12" s="19" t="s">
        <v>173</v>
      </c>
      <c r="R12" s="19" t="s">
        <v>173</v>
      </c>
      <c r="S12" s="19" t="s">
        <v>173</v>
      </c>
      <c r="T12" s="19" t="s">
        <v>173</v>
      </c>
      <c r="U12" s="19" t="s">
        <v>173</v>
      </c>
      <c r="V12" s="19" t="s">
        <v>173</v>
      </c>
      <c r="W12" s="19" t="s">
        <v>173</v>
      </c>
      <c r="X12" s="19" t="s">
        <v>173</v>
      </c>
      <c r="Y12" s="19" t="s">
        <v>173</v>
      </c>
      <c r="Z12" s="19" t="s">
        <v>173</v>
      </c>
      <c r="AA12" s="19" t="s">
        <v>173</v>
      </c>
      <c r="AB12" s="19" t="s">
        <v>173</v>
      </c>
      <c r="AC12" s="19" t="s">
        <v>173</v>
      </c>
      <c r="AD12" s="19" t="s">
        <v>173</v>
      </c>
      <c r="AE12" s="19" t="s">
        <v>173</v>
      </c>
      <c r="AF12" s="19" t="s">
        <v>173</v>
      </c>
      <c r="AG12" s="19" t="s">
        <v>173</v>
      </c>
      <c r="AH12" s="19" t="s">
        <v>173</v>
      </c>
      <c r="AI12" s="19" t="s">
        <v>173</v>
      </c>
      <c r="AJ12" s="19" t="s">
        <v>173</v>
      </c>
      <c r="AK12" s="19" t="s">
        <v>173</v>
      </c>
      <c r="AL12" s="19" t="s">
        <v>173</v>
      </c>
      <c r="AM12" s="19" t="s">
        <v>173</v>
      </c>
      <c r="AN12" s="19" t="s">
        <v>173</v>
      </c>
      <c r="AO12" s="19" t="s">
        <v>173</v>
      </c>
      <c r="AP12" s="19" t="s">
        <v>173</v>
      </c>
      <c r="AQ12" s="19" t="s">
        <v>173</v>
      </c>
      <c r="AR12" s="19" t="s">
        <v>173</v>
      </c>
      <c r="AS12" s="19" t="s">
        <v>173</v>
      </c>
      <c r="AT12" s="19" t="s">
        <v>173</v>
      </c>
      <c r="AU12" s="19" t="s">
        <v>173</v>
      </c>
      <c r="AV12" s="19" t="s">
        <v>173</v>
      </c>
      <c r="AW12" s="19" t="s">
        <v>173</v>
      </c>
      <c r="AX12" s="19" t="s">
        <v>173</v>
      </c>
      <c r="AY12" s="19" t="s">
        <v>173</v>
      </c>
      <c r="AZ12" s="19" t="s">
        <v>173</v>
      </c>
      <c r="BA12" s="19" t="s">
        <v>173</v>
      </c>
      <c r="BB12" s="19" t="s">
        <v>173</v>
      </c>
      <c r="BC12" s="19" t="s">
        <v>173</v>
      </c>
      <c r="BD12" s="19" t="s">
        <v>173</v>
      </c>
    </row>
    <row r="13" spans="1:56">
      <c r="A13" s="51" t="s">
        <v>200</v>
      </c>
      <c r="B13" s="47" t="s">
        <v>198</v>
      </c>
      <c r="C13" s="19" t="s">
        <v>173</v>
      </c>
      <c r="D13" s="19" t="s">
        <v>173</v>
      </c>
      <c r="E13" s="19" t="s">
        <v>173</v>
      </c>
      <c r="F13" s="19" t="s">
        <v>173</v>
      </c>
      <c r="G13" s="19" t="s">
        <v>173</v>
      </c>
      <c r="H13" s="19" t="s">
        <v>173</v>
      </c>
      <c r="I13" s="19" t="s">
        <v>173</v>
      </c>
      <c r="J13" s="19" t="s">
        <v>173</v>
      </c>
      <c r="K13" s="19" t="s">
        <v>173</v>
      </c>
      <c r="L13" s="19" t="s">
        <v>173</v>
      </c>
      <c r="M13" s="19" t="s">
        <v>173</v>
      </c>
      <c r="N13" s="19" t="s">
        <v>173</v>
      </c>
      <c r="O13" s="19" t="s">
        <v>173</v>
      </c>
      <c r="P13" s="19" t="s">
        <v>173</v>
      </c>
      <c r="Q13" s="19" t="s">
        <v>173</v>
      </c>
      <c r="R13" s="19" t="s">
        <v>173</v>
      </c>
      <c r="S13" s="19" t="s">
        <v>173</v>
      </c>
      <c r="T13" s="19" t="s">
        <v>173</v>
      </c>
      <c r="U13" s="19" t="s">
        <v>173</v>
      </c>
      <c r="V13" s="19" t="s">
        <v>173</v>
      </c>
      <c r="W13" s="19" t="s">
        <v>173</v>
      </c>
      <c r="X13" s="19" t="s">
        <v>173</v>
      </c>
      <c r="Y13" s="19" t="s">
        <v>173</v>
      </c>
      <c r="Z13" s="19" t="s">
        <v>173</v>
      </c>
      <c r="AA13" s="19" t="s">
        <v>173</v>
      </c>
      <c r="AB13" s="19" t="s">
        <v>173</v>
      </c>
      <c r="AC13" s="19" t="s">
        <v>173</v>
      </c>
      <c r="AD13" s="19" t="s">
        <v>173</v>
      </c>
      <c r="AE13" s="19" t="s">
        <v>173</v>
      </c>
      <c r="AF13" s="19" t="s">
        <v>173</v>
      </c>
      <c r="AG13" s="19" t="s">
        <v>173</v>
      </c>
      <c r="AH13" s="19" t="s">
        <v>173</v>
      </c>
      <c r="AI13" s="19" t="s">
        <v>173</v>
      </c>
      <c r="AJ13" s="19" t="s">
        <v>173</v>
      </c>
      <c r="AK13" s="19" t="s">
        <v>173</v>
      </c>
      <c r="AL13" s="19" t="s">
        <v>173</v>
      </c>
      <c r="AM13" s="19" t="s">
        <v>173</v>
      </c>
      <c r="AN13" s="19" t="s">
        <v>173</v>
      </c>
      <c r="AO13" s="19" t="s">
        <v>173</v>
      </c>
      <c r="AP13" s="19" t="s">
        <v>173</v>
      </c>
      <c r="AQ13" s="19" t="s">
        <v>173</v>
      </c>
      <c r="AR13" s="19" t="s">
        <v>173</v>
      </c>
      <c r="AS13" s="19" t="s">
        <v>173</v>
      </c>
      <c r="AT13" s="19" t="s">
        <v>173</v>
      </c>
      <c r="AU13" s="19" t="s">
        <v>173</v>
      </c>
      <c r="AV13" s="19" t="s">
        <v>173</v>
      </c>
      <c r="AW13" s="19" t="s">
        <v>173</v>
      </c>
      <c r="AX13" s="19" t="s">
        <v>173</v>
      </c>
      <c r="AY13" s="19" t="s">
        <v>173</v>
      </c>
      <c r="AZ13" s="19" t="s">
        <v>173</v>
      </c>
      <c r="BA13" s="19" t="s">
        <v>173</v>
      </c>
      <c r="BB13" s="19" t="s">
        <v>173</v>
      </c>
      <c r="BC13" s="19" t="s">
        <v>173</v>
      </c>
      <c r="BD13" s="19" t="s">
        <v>173</v>
      </c>
    </row>
  </sheetData>
  <dataValidations count="1">
    <dataValidation type="list" allowBlank="1" showInputMessage="1" showErrorMessage="1" sqref="C5:BD13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/>
  </sheetViews>
  <sheetFormatPr defaultRowHeight="15"/>
  <cols>
    <col min="2" max="2" width="21.42578125" bestFit="1" customWidth="1"/>
    <col min="3" max="3" width="21.42578125" customWidth="1"/>
    <col min="4" max="4" width="10.85546875" customWidth="1"/>
    <col min="5" max="5" width="9.140625" customWidth="1"/>
    <col min="6" max="6" width="15.7109375" bestFit="1" customWidth="1"/>
    <col min="8" max="8" width="13.28515625" customWidth="1"/>
  </cols>
  <sheetData>
    <row r="1" spans="1:9" ht="18.75">
      <c r="A1" s="53" t="s">
        <v>237</v>
      </c>
    </row>
    <row r="3" spans="1:9">
      <c r="E3" t="s">
        <v>228</v>
      </c>
      <c r="F3" t="s">
        <v>229</v>
      </c>
      <c r="G3" t="s">
        <v>230</v>
      </c>
      <c r="H3" t="s">
        <v>231</v>
      </c>
      <c r="I3" t="s">
        <v>232</v>
      </c>
    </row>
    <row r="4" spans="1:9">
      <c r="B4" t="s">
        <v>227</v>
      </c>
      <c r="E4">
        <v>0.32</v>
      </c>
      <c r="F4">
        <v>50</v>
      </c>
      <c r="G4">
        <v>200</v>
      </c>
      <c r="H4">
        <f>E4*F4*G4*(8/G4)^0.4</f>
        <v>883.02698333517742</v>
      </c>
      <c r="I4">
        <f>H4/G4</f>
        <v>4.4151349166758873</v>
      </c>
    </row>
    <row r="7" spans="1:9">
      <c r="B7">
        <f>I4</f>
        <v>4.4151349166758873</v>
      </c>
      <c r="C7">
        <v>50</v>
      </c>
      <c r="D7">
        <v>75</v>
      </c>
      <c r="E7">
        <v>100</v>
      </c>
      <c r="F7">
        <v>125</v>
      </c>
      <c r="G7">
        <v>150</v>
      </c>
      <c r="H7">
        <v>200</v>
      </c>
    </row>
    <row r="8" spans="1:9">
      <c r="B8">
        <v>500</v>
      </c>
      <c r="C8">
        <f t="dataTable" ref="C8:H27" dt2D="1" dtr="1" r1="F4" r2="G4"/>
        <v>3.0603279993281181</v>
      </c>
      <c r="D8">
        <v>4.5904919989921771</v>
      </c>
      <c r="E8">
        <v>6.1206559986562361</v>
      </c>
      <c r="F8">
        <v>7.6508199983202951</v>
      </c>
      <c r="G8">
        <v>9.1809839979843542</v>
      </c>
      <c r="H8">
        <v>12.241311997312472</v>
      </c>
    </row>
    <row r="9" spans="1:9">
      <c r="B9">
        <v>750</v>
      </c>
      <c r="C9">
        <v>2.6021448735294608</v>
      </c>
      <c r="D9">
        <v>3.9032173102941914</v>
      </c>
      <c r="E9">
        <v>5.2042897470589216</v>
      </c>
      <c r="F9">
        <v>6.5053621838236513</v>
      </c>
      <c r="G9">
        <v>7.8064346205883828</v>
      </c>
      <c r="H9">
        <v>10.408579494117843</v>
      </c>
    </row>
    <row r="10" spans="1:9">
      <c r="B10">
        <v>1000</v>
      </c>
      <c r="C10">
        <v>2.3192949237686253</v>
      </c>
      <c r="D10">
        <v>3.478942385652938</v>
      </c>
      <c r="E10">
        <v>4.6385898475372507</v>
      </c>
      <c r="F10">
        <v>5.7982373094215633</v>
      </c>
      <c r="G10">
        <v>6.957884771305876</v>
      </c>
      <c r="H10">
        <v>9.2771796950745014</v>
      </c>
    </row>
    <row r="11" spans="1:9">
      <c r="B11">
        <v>1250</v>
      </c>
      <c r="C11">
        <v>2.1212505710975913</v>
      </c>
      <c r="D11">
        <v>3.1818758566463869</v>
      </c>
      <c r="E11">
        <v>4.2425011421951826</v>
      </c>
      <c r="F11">
        <v>5.3031264277439787</v>
      </c>
      <c r="G11">
        <v>6.3637517132927739</v>
      </c>
      <c r="H11">
        <v>8.4850022843903652</v>
      </c>
    </row>
    <row r="12" spans="1:9">
      <c r="B12">
        <v>1500</v>
      </c>
      <c r="C12">
        <v>1.9720570466343543</v>
      </c>
      <c r="D12">
        <v>2.9580855699515318</v>
      </c>
      <c r="E12">
        <v>3.9441140932687087</v>
      </c>
      <c r="F12">
        <v>4.9301426165858864</v>
      </c>
      <c r="G12">
        <v>5.9161711399030636</v>
      </c>
      <c r="H12">
        <v>7.8882281865374173</v>
      </c>
    </row>
    <row r="13" spans="1:9">
      <c r="B13">
        <v>1750</v>
      </c>
      <c r="C13">
        <v>1.8541324637637864</v>
      </c>
      <c r="D13">
        <v>2.7811986956456796</v>
      </c>
      <c r="E13">
        <v>3.7082649275275728</v>
      </c>
      <c r="F13">
        <v>4.6353311594094659</v>
      </c>
      <c r="G13">
        <v>5.5623973912913591</v>
      </c>
      <c r="H13">
        <v>7.4165298550551455</v>
      </c>
    </row>
    <row r="14" spans="1:9">
      <c r="B14">
        <v>2000</v>
      </c>
      <c r="C14">
        <v>1.7576968692897883</v>
      </c>
      <c r="D14">
        <v>2.6365453039346827</v>
      </c>
      <c r="E14">
        <v>3.5153937385795766</v>
      </c>
      <c r="F14">
        <v>4.3942421732244714</v>
      </c>
      <c r="G14">
        <v>5.2730906078693653</v>
      </c>
      <c r="H14">
        <v>7.0307874771591532</v>
      </c>
    </row>
    <row r="15" spans="1:9">
      <c r="B15">
        <v>2250</v>
      </c>
      <c r="C15">
        <v>1.6768065826061285</v>
      </c>
      <c r="D15">
        <v>2.5152098739091926</v>
      </c>
      <c r="E15">
        <v>3.3536131652122569</v>
      </c>
      <c r="F15">
        <v>4.1920164565153213</v>
      </c>
      <c r="G15">
        <v>5.0304197478183852</v>
      </c>
      <c r="H15">
        <v>6.7072263304245139</v>
      </c>
    </row>
    <row r="16" spans="1:9">
      <c r="B16">
        <v>2500</v>
      </c>
      <c r="C16">
        <v>1.6076073161661311</v>
      </c>
      <c r="D16">
        <v>2.4114109742491965</v>
      </c>
      <c r="E16">
        <v>3.2152146323322621</v>
      </c>
      <c r="F16">
        <v>4.0190182904153273</v>
      </c>
      <c r="G16">
        <v>4.822821948498393</v>
      </c>
      <c r="H16">
        <v>6.4304292646645242</v>
      </c>
    </row>
    <row r="17" spans="2:8">
      <c r="B17">
        <v>2750</v>
      </c>
      <c r="C17">
        <v>1.547472357364037</v>
      </c>
      <c r="D17">
        <v>2.3212085360460559</v>
      </c>
      <c r="E17">
        <v>3.094944714728074</v>
      </c>
      <c r="F17">
        <v>3.8686808934100929</v>
      </c>
      <c r="G17">
        <v>4.6424170720921119</v>
      </c>
      <c r="H17">
        <v>6.189889429456148</v>
      </c>
    </row>
    <row r="18" spans="2:8">
      <c r="B18">
        <v>3000</v>
      </c>
      <c r="C18">
        <v>1.4945397678436299</v>
      </c>
      <c r="D18">
        <v>2.2418096517654447</v>
      </c>
      <c r="E18">
        <v>2.9890795356872597</v>
      </c>
      <c r="F18">
        <v>3.7363494196090747</v>
      </c>
      <c r="G18">
        <v>4.4836193035308893</v>
      </c>
      <c r="H18">
        <v>5.9781590713745194</v>
      </c>
    </row>
    <row r="19" spans="2:8">
      <c r="B19">
        <v>3250</v>
      </c>
      <c r="C19">
        <v>1.4474468752890204</v>
      </c>
      <c r="D19">
        <v>2.1711703129335307</v>
      </c>
      <c r="E19">
        <v>2.8948937505780408</v>
      </c>
      <c r="F19">
        <v>3.6186171882225509</v>
      </c>
      <c r="G19">
        <v>4.3423406258670614</v>
      </c>
      <c r="H19">
        <v>5.7897875011560815</v>
      </c>
    </row>
    <row r="20" spans="2:8">
      <c r="B20">
        <v>3500</v>
      </c>
      <c r="C20">
        <v>1.4051696459157563</v>
      </c>
      <c r="D20">
        <v>2.1077544688736345</v>
      </c>
      <c r="E20">
        <v>2.8103392918315127</v>
      </c>
      <c r="F20">
        <v>3.5129241147893908</v>
      </c>
      <c r="G20">
        <v>4.215508937747269</v>
      </c>
      <c r="H20">
        <v>5.6206785836630253</v>
      </c>
    </row>
    <row r="21" spans="2:8">
      <c r="B21">
        <v>3750</v>
      </c>
      <c r="C21">
        <v>1.3669211722823706</v>
      </c>
      <c r="D21">
        <v>2.0503817584235562</v>
      </c>
      <c r="E21">
        <v>2.7338423445647413</v>
      </c>
      <c r="F21">
        <v>3.4173029307059264</v>
      </c>
      <c r="G21">
        <v>4.1007635168471124</v>
      </c>
      <c r="H21">
        <v>5.4676846891294826</v>
      </c>
    </row>
    <row r="22" spans="2:8">
      <c r="B22">
        <v>4000</v>
      </c>
      <c r="C22">
        <v>1.3320851318429967</v>
      </c>
      <c r="D22">
        <v>1.9981276977644955</v>
      </c>
      <c r="E22">
        <v>2.6641702636859934</v>
      </c>
      <c r="F22">
        <v>3.3302128296074924</v>
      </c>
      <c r="G22">
        <v>3.996255395528991</v>
      </c>
      <c r="H22">
        <v>5.3283405273719868</v>
      </c>
    </row>
    <row r="23" spans="2:8">
      <c r="B23">
        <v>4250</v>
      </c>
      <c r="C23">
        <v>1.3001707917980772</v>
      </c>
      <c r="D23">
        <v>1.9502561876971158</v>
      </c>
      <c r="E23">
        <v>2.6003415835961543</v>
      </c>
      <c r="F23">
        <v>3.2504269794951925</v>
      </c>
      <c r="G23">
        <v>3.9005123753942317</v>
      </c>
      <c r="H23">
        <v>5.2006831671923086</v>
      </c>
    </row>
    <row r="24" spans="2:8">
      <c r="B24">
        <v>4500</v>
      </c>
      <c r="C24">
        <v>1.2707817580448977</v>
      </c>
      <c r="D24">
        <v>1.9061726370673464</v>
      </c>
      <c r="E24">
        <v>2.5415635160897954</v>
      </c>
      <c r="F24">
        <v>3.1769543951122441</v>
      </c>
      <c r="G24">
        <v>3.8123452741346928</v>
      </c>
      <c r="H24">
        <v>5.0831270321795907</v>
      </c>
    </row>
    <row r="25" spans="2:8">
      <c r="B25">
        <v>4750</v>
      </c>
      <c r="C25">
        <v>1.2435937582601417</v>
      </c>
      <c r="D25">
        <v>1.8653906373902125</v>
      </c>
      <c r="E25">
        <v>2.4871875165202835</v>
      </c>
      <c r="F25">
        <v>3.1089843956503547</v>
      </c>
      <c r="G25">
        <v>3.730781274780425</v>
      </c>
      <c r="H25">
        <v>4.9743750330405669</v>
      </c>
    </row>
    <row r="26" spans="2:8">
      <c r="B26">
        <v>5000</v>
      </c>
      <c r="C26">
        <v>1.2183385207781621</v>
      </c>
      <c r="D26">
        <v>1.8275077811672433</v>
      </c>
      <c r="E26">
        <v>2.4366770415563241</v>
      </c>
      <c r="F26">
        <v>3.0458463019454052</v>
      </c>
      <c r="G26">
        <v>3.6550155623344867</v>
      </c>
      <c r="H26">
        <v>4.8733540831126483</v>
      </c>
    </row>
    <row r="27" spans="2:8">
      <c r="B27">
        <v>5250</v>
      </c>
      <c r="C27">
        <v>1.1947918626244149</v>
      </c>
      <c r="D27">
        <v>1.7921877939366224</v>
      </c>
      <c r="E27">
        <v>2.3895837252488299</v>
      </c>
      <c r="F27">
        <v>2.9869796565610374</v>
      </c>
      <c r="G27">
        <v>3.5843755878732448</v>
      </c>
      <c r="H27">
        <v>4.7791674504976598</v>
      </c>
    </row>
    <row r="34" spans="2:2">
      <c r="B34" s="72" t="s">
        <v>233</v>
      </c>
    </row>
    <row r="35" spans="2:2">
      <c r="B35" s="72" t="s">
        <v>234</v>
      </c>
    </row>
    <row r="36" spans="2:2">
      <c r="B36" s="72" t="s">
        <v>235</v>
      </c>
    </row>
  </sheetData>
  <pageMargins left="0.511811024" right="0.511811024" top="0.78740157499999996" bottom="0.78740157499999996" header="0.31496062000000002" footer="0.31496062000000002"/>
  <pageSetup paperSize="9" scale="9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/>
  </sheetViews>
  <sheetFormatPr defaultRowHeight="15"/>
  <cols>
    <col min="2" max="2" width="21.42578125" bestFit="1" customWidth="1"/>
    <col min="3" max="3" width="21.42578125" customWidth="1"/>
    <col min="4" max="4" width="10.85546875" customWidth="1"/>
    <col min="5" max="5" width="9.140625" customWidth="1"/>
    <col min="6" max="6" width="15.7109375" bestFit="1" customWidth="1"/>
    <col min="8" max="8" width="13.28515625" customWidth="1"/>
  </cols>
  <sheetData>
    <row r="1" spans="1:9" ht="18.75">
      <c r="A1" s="53" t="s">
        <v>238</v>
      </c>
    </row>
    <row r="3" spans="1:9">
      <c r="E3" t="s">
        <v>228</v>
      </c>
      <c r="F3" t="s">
        <v>229</v>
      </c>
      <c r="G3" t="s">
        <v>230</v>
      </c>
      <c r="H3" t="s">
        <v>231</v>
      </c>
      <c r="I3" t="s">
        <v>232</v>
      </c>
    </row>
    <row r="4" spans="1:9">
      <c r="B4" t="s">
        <v>227</v>
      </c>
      <c r="E4">
        <v>3.5</v>
      </c>
      <c r="F4">
        <v>50</v>
      </c>
      <c r="G4">
        <v>200</v>
      </c>
      <c r="H4">
        <f>E4*F4*G4*(8/G4)^0.4</f>
        <v>9658.1076302285037</v>
      </c>
      <c r="I4">
        <f>H4/G4</f>
        <v>48.29053815114252</v>
      </c>
    </row>
    <row r="7" spans="1:9">
      <c r="B7">
        <f>I4</f>
        <v>48.29053815114252</v>
      </c>
      <c r="C7">
        <v>50</v>
      </c>
      <c r="D7">
        <v>75</v>
      </c>
      <c r="E7">
        <v>100</v>
      </c>
      <c r="F7">
        <v>125</v>
      </c>
      <c r="G7">
        <v>150</v>
      </c>
      <c r="H7">
        <v>200</v>
      </c>
    </row>
    <row r="8" spans="1:9">
      <c r="B8">
        <v>300</v>
      </c>
      <c r="C8">
        <f t="dataTable" ref="C8:H27" dt2D="1" dtr="1" r1="F4" r2="G4"/>
        <v>41.060623670914431</v>
      </c>
      <c r="D8">
        <v>61.590935506371643</v>
      </c>
      <c r="E8">
        <v>82.121247341828862</v>
      </c>
      <c r="F8">
        <v>102.65155917728606</v>
      </c>
      <c r="G8">
        <v>123.18187101274329</v>
      </c>
      <c r="H8">
        <v>164.24249468365772</v>
      </c>
    </row>
    <row r="9" spans="1:9">
      <c r="B9">
        <v>350</v>
      </c>
      <c r="C9">
        <v>38.605290582522443</v>
      </c>
      <c r="D9">
        <v>57.907935873783664</v>
      </c>
      <c r="E9">
        <v>77.210581165044886</v>
      </c>
      <c r="F9">
        <v>96.5132264563061</v>
      </c>
      <c r="G9">
        <v>115.81587174756733</v>
      </c>
      <c r="H9">
        <v>154.42116233008977</v>
      </c>
    </row>
    <row r="10" spans="1:9">
      <c r="B10">
        <v>400</v>
      </c>
      <c r="C10">
        <v>36.59738434069456</v>
      </c>
      <c r="D10">
        <v>54.896076511041841</v>
      </c>
      <c r="E10">
        <v>73.194768681389121</v>
      </c>
      <c r="F10">
        <v>91.493460851736401</v>
      </c>
      <c r="G10">
        <v>109.79215302208368</v>
      </c>
      <c r="H10">
        <v>146.38953736277824</v>
      </c>
    </row>
    <row r="11" spans="1:9">
      <c r="B11">
        <v>450</v>
      </c>
      <c r="C11">
        <v>34.913150293906384</v>
      </c>
      <c r="D11">
        <v>52.369725440859568</v>
      </c>
      <c r="E11">
        <v>69.826300587812767</v>
      </c>
      <c r="F11">
        <v>87.282875734765952</v>
      </c>
      <c r="G11">
        <v>104.73945088171914</v>
      </c>
      <c r="H11">
        <v>139.65260117562553</v>
      </c>
    </row>
    <row r="12" spans="1:9">
      <c r="B12">
        <v>500</v>
      </c>
      <c r="C12">
        <v>33.472337492651292</v>
      </c>
      <c r="D12">
        <v>50.208506238976938</v>
      </c>
      <c r="E12">
        <v>66.944674985302584</v>
      </c>
      <c r="F12">
        <v>83.680843731628215</v>
      </c>
      <c r="G12">
        <v>100.41701247795388</v>
      </c>
      <c r="H12">
        <v>133.88934997060517</v>
      </c>
    </row>
    <row r="13" spans="1:9">
      <c r="B13">
        <v>550</v>
      </c>
      <c r="C13">
        <v>32.220254589140573</v>
      </c>
      <c r="D13">
        <v>48.330381883710864</v>
      </c>
      <c r="E13">
        <v>64.440509178281147</v>
      </c>
      <c r="F13">
        <v>80.550636472851437</v>
      </c>
      <c r="G13">
        <v>96.660763767421727</v>
      </c>
      <c r="H13">
        <v>128.88101835656229</v>
      </c>
    </row>
    <row r="14" spans="1:9">
      <c r="B14">
        <v>600</v>
      </c>
      <c r="C14">
        <v>31.118133764627</v>
      </c>
      <c r="D14">
        <v>46.677200646940506</v>
      </c>
      <c r="E14">
        <v>62.236267529254</v>
      </c>
      <c r="F14">
        <v>77.795334411567509</v>
      </c>
      <c r="G14">
        <v>93.354401293881011</v>
      </c>
      <c r="H14">
        <v>124.472535058508</v>
      </c>
    </row>
    <row r="15" spans="1:9">
      <c r="B15">
        <v>650</v>
      </c>
      <c r="C15">
        <v>30.137602525908662</v>
      </c>
      <c r="D15">
        <v>45.206403788862985</v>
      </c>
      <c r="E15">
        <v>60.275205051817323</v>
      </c>
      <c r="F15">
        <v>75.344006314771647</v>
      </c>
      <c r="G15">
        <v>90.412807577725971</v>
      </c>
      <c r="H15">
        <v>120.55041010363465</v>
      </c>
    </row>
    <row r="16" spans="1:9">
      <c r="B16">
        <v>700</v>
      </c>
      <c r="C16">
        <v>29.257339245438555</v>
      </c>
      <c r="D16">
        <v>43.88600886815783</v>
      </c>
      <c r="E16">
        <v>58.51467849087711</v>
      </c>
      <c r="F16">
        <v>73.143348113596389</v>
      </c>
      <c r="G16">
        <v>87.772017736315661</v>
      </c>
      <c r="H16">
        <v>117.02935698175422</v>
      </c>
    </row>
    <row r="17" spans="2:8">
      <c r="B17">
        <v>800</v>
      </c>
      <c r="C17">
        <v>27.735630868069489</v>
      </c>
      <c r="D17">
        <v>41.603446302104238</v>
      </c>
      <c r="E17">
        <v>55.471261736138977</v>
      </c>
      <c r="F17">
        <v>69.339077170173724</v>
      </c>
      <c r="G17">
        <v>83.206892604208477</v>
      </c>
      <c r="H17">
        <v>110.94252347227795</v>
      </c>
    </row>
    <row r="18" spans="2:8">
      <c r="B18">
        <v>900</v>
      </c>
      <c r="C18">
        <v>26.459220144770637</v>
      </c>
      <c r="D18">
        <v>39.688830217155953</v>
      </c>
      <c r="E18">
        <v>52.918440289541273</v>
      </c>
      <c r="F18">
        <v>66.148050361926593</v>
      </c>
      <c r="G18">
        <v>79.377660434311906</v>
      </c>
      <c r="H18">
        <v>105.83688057908255</v>
      </c>
    </row>
    <row r="19" spans="2:8">
      <c r="B19">
        <v>1000</v>
      </c>
      <c r="C19">
        <v>25.367288228719339</v>
      </c>
      <c r="D19">
        <v>38.050932343079012</v>
      </c>
      <c r="E19">
        <v>50.734576457438678</v>
      </c>
      <c r="F19">
        <v>63.418220571798351</v>
      </c>
      <c r="G19">
        <v>76.101864686158024</v>
      </c>
      <c r="H19">
        <v>101.46915291487736</v>
      </c>
    </row>
    <row r="20" spans="2:8">
      <c r="B20">
        <v>1100</v>
      </c>
      <c r="C20">
        <v>24.418386828971521</v>
      </c>
      <c r="D20">
        <v>36.627580243457281</v>
      </c>
      <c r="E20">
        <v>48.836773657943041</v>
      </c>
      <c r="F20">
        <v>61.045967072428809</v>
      </c>
      <c r="G20">
        <v>73.255160486914562</v>
      </c>
      <c r="H20">
        <v>97.673547315886083</v>
      </c>
    </row>
    <row r="21" spans="2:8">
      <c r="B21">
        <v>1200</v>
      </c>
      <c r="C21">
        <v>23.583135432965861</v>
      </c>
      <c r="D21">
        <v>35.374703149448791</v>
      </c>
      <c r="E21">
        <v>47.166270865931722</v>
      </c>
      <c r="F21">
        <v>58.957838582414645</v>
      </c>
      <c r="G21">
        <v>70.749406298897583</v>
      </c>
      <c r="H21">
        <v>94.332541731863444</v>
      </c>
    </row>
    <row r="22" spans="2:8">
      <c r="B22">
        <v>1300</v>
      </c>
      <c r="C22">
        <v>22.840031711712687</v>
      </c>
      <c r="D22">
        <v>34.260047567569032</v>
      </c>
      <c r="E22">
        <v>45.680063423425374</v>
      </c>
      <c r="F22">
        <v>57.100079279281722</v>
      </c>
      <c r="G22">
        <v>68.520095135138064</v>
      </c>
      <c r="H22">
        <v>91.360126846850747</v>
      </c>
    </row>
    <row r="23" spans="2:8">
      <c r="B23">
        <v>1400</v>
      </c>
      <c r="C23">
        <v>22.172916893163023</v>
      </c>
      <c r="D23">
        <v>33.259375339744537</v>
      </c>
      <c r="E23">
        <v>44.345833786326047</v>
      </c>
      <c r="F23">
        <v>55.432292232907557</v>
      </c>
      <c r="G23">
        <v>66.518750679489074</v>
      </c>
      <c r="H23">
        <v>88.691667572652094</v>
      </c>
    </row>
    <row r="24" spans="2:8">
      <c r="B24">
        <v>1500</v>
      </c>
      <c r="C24">
        <v>21.56937394756325</v>
      </c>
      <c r="D24">
        <v>32.354060921344875</v>
      </c>
      <c r="E24">
        <v>43.1387478951265</v>
      </c>
      <c r="F24">
        <v>53.923434868908132</v>
      </c>
      <c r="G24">
        <v>64.708121842689749</v>
      </c>
      <c r="H24">
        <v>86.277495790252999</v>
      </c>
    </row>
    <row r="25" spans="2:8">
      <c r="B25">
        <v>1600</v>
      </c>
      <c r="C25">
        <v>21.019677594675048</v>
      </c>
      <c r="D25">
        <v>31.529516392012571</v>
      </c>
      <c r="E25">
        <v>42.039355189350097</v>
      </c>
      <c r="F25">
        <v>52.549193986687612</v>
      </c>
      <c r="G25">
        <v>63.059032784025142</v>
      </c>
      <c r="H25">
        <v>84.078710378700194</v>
      </c>
    </row>
    <row r="26" spans="2:8">
      <c r="B26">
        <v>1700</v>
      </c>
      <c r="C26">
        <v>20.516084301457429</v>
      </c>
      <c r="D26">
        <v>30.774126452186145</v>
      </c>
      <c r="E26">
        <v>41.032168602914858</v>
      </c>
      <c r="F26">
        <v>51.290210753643571</v>
      </c>
      <c r="G26">
        <v>61.548252904372291</v>
      </c>
      <c r="H26">
        <v>82.064337205829716</v>
      </c>
    </row>
    <row r="27" spans="2:8">
      <c r="B27">
        <v>1800</v>
      </c>
      <c r="C27">
        <v>20.052339155187251</v>
      </c>
      <c r="D27">
        <v>30.078508732780882</v>
      </c>
      <c r="E27">
        <v>40.104678310374503</v>
      </c>
      <c r="F27">
        <v>50.13084788796813</v>
      </c>
      <c r="G27">
        <v>60.157017465561765</v>
      </c>
      <c r="H27">
        <v>80.209356620749006</v>
      </c>
    </row>
    <row r="36" spans="2:2">
      <c r="B36" s="72" t="s">
        <v>233</v>
      </c>
    </row>
    <row r="37" spans="2:2">
      <c r="B37" s="72" t="s">
        <v>234</v>
      </c>
    </row>
    <row r="38" spans="2:2">
      <c r="B38" s="72" t="s">
        <v>235</v>
      </c>
    </row>
  </sheetData>
  <pageMargins left="0.511811024" right="0.511811024" top="0.78740157499999996" bottom="0.78740157499999996" header="0.31496062000000002" footer="0.31496062000000002"/>
  <pageSetup paperSize="9" scale="8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/>
  </sheetViews>
  <sheetFormatPr defaultRowHeight="15"/>
  <cols>
    <col min="2" max="2" width="21.42578125" bestFit="1" customWidth="1"/>
    <col min="3" max="3" width="21.42578125" customWidth="1"/>
    <col min="4" max="4" width="10.85546875" customWidth="1"/>
    <col min="5" max="5" width="9.140625" customWidth="1"/>
    <col min="6" max="6" width="15.7109375" bestFit="1" customWidth="1"/>
    <col min="8" max="8" width="13.28515625" customWidth="1"/>
  </cols>
  <sheetData>
    <row r="1" spans="1:14" ht="18.75">
      <c r="A1" s="53" t="s">
        <v>239</v>
      </c>
    </row>
    <row r="3" spans="1:14">
      <c r="E3" t="s">
        <v>228</v>
      </c>
      <c r="F3" t="s">
        <v>229</v>
      </c>
      <c r="G3" t="s">
        <v>230</v>
      </c>
      <c r="H3" t="s">
        <v>231</v>
      </c>
      <c r="I3" t="s">
        <v>232</v>
      </c>
    </row>
    <row r="4" spans="1:14">
      <c r="B4" t="s">
        <v>227</v>
      </c>
      <c r="E4">
        <v>0.25</v>
      </c>
      <c r="F4">
        <v>50</v>
      </c>
      <c r="G4">
        <v>200</v>
      </c>
      <c r="H4">
        <f>E4*F4*G4*(8/G4)^0.4</f>
        <v>689.86483073060742</v>
      </c>
      <c r="I4">
        <f>H4/G4</f>
        <v>3.4493241536530372</v>
      </c>
    </row>
    <row r="7" spans="1:14">
      <c r="B7">
        <f>I4</f>
        <v>3.4493241536530372</v>
      </c>
      <c r="C7">
        <v>50</v>
      </c>
      <c r="D7">
        <v>75</v>
      </c>
      <c r="E7">
        <v>100</v>
      </c>
      <c r="F7">
        <v>125</v>
      </c>
      <c r="G7">
        <v>150</v>
      </c>
      <c r="H7">
        <v>200</v>
      </c>
    </row>
    <row r="8" spans="1:14">
      <c r="B8">
        <v>500</v>
      </c>
      <c r="C8">
        <f t="dataTable" ref="C8:H27" dt2D="1" dtr="1" r1="F4" r2="G4"/>
        <v>2.3908812494750924</v>
      </c>
      <c r="D8">
        <v>3.5863218742126381</v>
      </c>
      <c r="E8">
        <v>4.7817624989501848</v>
      </c>
      <c r="F8">
        <v>5.9772031236877314</v>
      </c>
      <c r="G8">
        <v>7.1726437484252763</v>
      </c>
      <c r="H8">
        <v>9.5635249979003696</v>
      </c>
    </row>
    <row r="9" spans="1:14">
      <c r="B9">
        <v>750</v>
      </c>
      <c r="C9">
        <v>2.0329256824448914</v>
      </c>
      <c r="D9">
        <v>3.049388523667337</v>
      </c>
      <c r="E9">
        <v>4.0658513648897827</v>
      </c>
      <c r="F9">
        <v>5.082314206112228</v>
      </c>
      <c r="G9">
        <v>6.0987770473346741</v>
      </c>
      <c r="H9">
        <v>8.1317027297795654</v>
      </c>
    </row>
    <row r="10" spans="1:14">
      <c r="B10">
        <v>1000</v>
      </c>
      <c r="C10">
        <v>1.8119491591942385</v>
      </c>
      <c r="D10">
        <v>2.7179237387913577</v>
      </c>
      <c r="E10">
        <v>3.623898318388477</v>
      </c>
      <c r="F10">
        <v>4.5298728979855962</v>
      </c>
      <c r="G10">
        <v>5.4358474775827155</v>
      </c>
      <c r="H10">
        <v>7.247796636776954</v>
      </c>
    </row>
    <row r="11" spans="1:14">
      <c r="B11">
        <v>1250</v>
      </c>
      <c r="C11">
        <v>1.6572270086699934</v>
      </c>
      <c r="D11">
        <v>2.4858405130049896</v>
      </c>
      <c r="E11">
        <v>3.3144540173399868</v>
      </c>
      <c r="F11">
        <v>4.1430675216749826</v>
      </c>
      <c r="G11">
        <v>4.9716810260099793</v>
      </c>
      <c r="H11">
        <v>6.6289080346799736</v>
      </c>
      <c r="N11">
        <f>750*8</f>
        <v>6000</v>
      </c>
    </row>
    <row r="12" spans="1:14">
      <c r="B12">
        <v>1500</v>
      </c>
      <c r="C12">
        <v>1.5406695676830893</v>
      </c>
      <c r="D12">
        <v>2.3110043515246339</v>
      </c>
      <c r="E12">
        <v>3.0813391353661785</v>
      </c>
      <c r="F12">
        <v>3.8516739192077232</v>
      </c>
      <c r="G12">
        <v>4.6220087030492678</v>
      </c>
      <c r="H12">
        <v>6.1626782707323571</v>
      </c>
    </row>
    <row r="13" spans="1:14">
      <c r="B13">
        <v>1750</v>
      </c>
      <c r="C13">
        <v>1.448540987315458</v>
      </c>
      <c r="D13">
        <v>2.1728114809731873</v>
      </c>
      <c r="E13">
        <v>2.897081974630916</v>
      </c>
      <c r="F13">
        <v>3.6213524682886455</v>
      </c>
      <c r="G13">
        <v>4.3456229619463747</v>
      </c>
      <c r="H13">
        <v>5.794163949261832</v>
      </c>
    </row>
    <row r="14" spans="1:14">
      <c r="B14">
        <v>2000</v>
      </c>
      <c r="C14">
        <v>1.3732006791326472</v>
      </c>
      <c r="D14">
        <v>2.0598010186989706</v>
      </c>
      <c r="E14">
        <v>2.7464013582652944</v>
      </c>
      <c r="F14">
        <v>3.4330016978316173</v>
      </c>
      <c r="G14">
        <v>4.1196020373979412</v>
      </c>
      <c r="H14">
        <v>5.4928027165305888</v>
      </c>
    </row>
    <row r="15" spans="1:14">
      <c r="B15">
        <v>2250</v>
      </c>
      <c r="C15">
        <v>1.310005142661038</v>
      </c>
      <c r="D15">
        <v>1.9650077139915569</v>
      </c>
      <c r="E15">
        <v>2.6200102853220759</v>
      </c>
      <c r="F15">
        <v>3.2750128566525949</v>
      </c>
      <c r="G15">
        <v>3.9300154279831139</v>
      </c>
      <c r="H15">
        <v>5.2400205706441518</v>
      </c>
    </row>
    <row r="16" spans="1:14">
      <c r="B16">
        <v>2500</v>
      </c>
      <c r="C16">
        <v>1.2559432157547898</v>
      </c>
      <c r="D16">
        <v>1.883914823632185</v>
      </c>
      <c r="E16">
        <v>2.5118864315095797</v>
      </c>
      <c r="F16">
        <v>3.1398580393869748</v>
      </c>
      <c r="G16">
        <v>3.76782964726437</v>
      </c>
      <c r="H16">
        <v>5.0237728630191594</v>
      </c>
    </row>
    <row r="17" spans="2:8">
      <c r="B17">
        <v>2750</v>
      </c>
      <c r="C17">
        <v>1.2089627791906541</v>
      </c>
      <c r="D17">
        <v>1.8134441687859812</v>
      </c>
      <c r="E17">
        <v>2.4179255583813082</v>
      </c>
      <c r="F17">
        <v>3.0224069479766351</v>
      </c>
      <c r="G17">
        <v>3.6268883375719625</v>
      </c>
      <c r="H17">
        <v>4.8358511167626164</v>
      </c>
    </row>
    <row r="18" spans="2:8">
      <c r="B18">
        <v>3000</v>
      </c>
      <c r="C18">
        <v>1.1676091936278359</v>
      </c>
      <c r="D18">
        <v>1.7514137904417537</v>
      </c>
      <c r="E18">
        <v>2.3352183872556718</v>
      </c>
      <c r="F18">
        <v>2.9190229840695894</v>
      </c>
      <c r="G18">
        <v>3.5028275808835074</v>
      </c>
      <c r="H18">
        <v>4.6704367745113435</v>
      </c>
    </row>
    <row r="19" spans="2:8">
      <c r="B19">
        <v>3250</v>
      </c>
      <c r="C19">
        <v>1.1308178713195471</v>
      </c>
      <c r="D19">
        <v>1.6962268069793209</v>
      </c>
      <c r="E19">
        <v>2.2616357426390943</v>
      </c>
      <c r="F19">
        <v>2.8270446782988681</v>
      </c>
      <c r="G19">
        <v>3.3924536139586419</v>
      </c>
      <c r="H19">
        <v>4.5232714852781886</v>
      </c>
    </row>
    <row r="20" spans="2:8">
      <c r="B20">
        <v>3500</v>
      </c>
      <c r="C20">
        <v>1.0977887858716846</v>
      </c>
      <c r="D20">
        <v>1.6466831788075269</v>
      </c>
      <c r="E20">
        <v>2.1955775717433692</v>
      </c>
      <c r="F20">
        <v>2.7444719646792115</v>
      </c>
      <c r="G20">
        <v>3.2933663576150538</v>
      </c>
      <c r="H20">
        <v>4.3911551434867384</v>
      </c>
    </row>
    <row r="21" spans="2:8">
      <c r="B21">
        <v>3750</v>
      </c>
      <c r="C21">
        <v>1.0679071658456021</v>
      </c>
      <c r="D21">
        <v>1.6018607487684031</v>
      </c>
      <c r="E21">
        <v>2.1358143316912042</v>
      </c>
      <c r="F21">
        <v>2.6697679146140052</v>
      </c>
      <c r="G21">
        <v>3.2037214975368062</v>
      </c>
      <c r="H21">
        <v>4.2716286633824083</v>
      </c>
    </row>
    <row r="22" spans="2:8">
      <c r="B22">
        <v>4000</v>
      </c>
      <c r="C22">
        <v>1.0406915092523414</v>
      </c>
      <c r="D22">
        <v>1.5610372638785119</v>
      </c>
      <c r="E22">
        <v>2.0813830185046829</v>
      </c>
      <c r="F22">
        <v>2.6017287731308532</v>
      </c>
      <c r="G22">
        <v>3.1220745277570239</v>
      </c>
      <c r="H22">
        <v>4.1627660370093658</v>
      </c>
    </row>
    <row r="23" spans="2:8">
      <c r="B23">
        <v>4250</v>
      </c>
      <c r="C23">
        <v>1.0157584310922476</v>
      </c>
      <c r="D23">
        <v>1.5236376466383716</v>
      </c>
      <c r="E23">
        <v>2.0315168621844952</v>
      </c>
      <c r="F23">
        <v>2.5393960777306193</v>
      </c>
      <c r="G23">
        <v>3.0472752932767433</v>
      </c>
      <c r="H23">
        <v>4.0630337243689905</v>
      </c>
    </row>
    <row r="24" spans="2:8">
      <c r="B24">
        <v>4500</v>
      </c>
      <c r="C24">
        <v>0.99279824847257625</v>
      </c>
      <c r="D24">
        <v>1.4891973727088645</v>
      </c>
      <c r="E24">
        <v>1.9855964969451525</v>
      </c>
      <c r="F24">
        <v>2.4819956211814409</v>
      </c>
      <c r="G24">
        <v>2.9783947454177291</v>
      </c>
      <c r="H24">
        <v>3.971192993890305</v>
      </c>
    </row>
    <row r="25" spans="2:8">
      <c r="B25">
        <v>4750</v>
      </c>
      <c r="C25">
        <v>0.97155762364073583</v>
      </c>
      <c r="D25">
        <v>1.4573364354611036</v>
      </c>
      <c r="E25">
        <v>1.9431152472814717</v>
      </c>
      <c r="F25">
        <v>2.4288940591018391</v>
      </c>
      <c r="G25">
        <v>2.9146728709222072</v>
      </c>
      <c r="H25">
        <v>3.8862304945629433</v>
      </c>
    </row>
    <row r="26" spans="2:8">
      <c r="B26">
        <v>5000</v>
      </c>
      <c r="C26">
        <v>0.9518269693579392</v>
      </c>
      <c r="D26">
        <v>1.4277404540369087</v>
      </c>
      <c r="E26">
        <v>1.9036539387158784</v>
      </c>
      <c r="F26">
        <v>2.3795674233948478</v>
      </c>
      <c r="G26">
        <v>2.8554809080738175</v>
      </c>
      <c r="H26">
        <v>3.8073078774317568</v>
      </c>
    </row>
    <row r="27" spans="2:8">
      <c r="B27">
        <v>5250</v>
      </c>
      <c r="C27">
        <v>0.93343114267532412</v>
      </c>
      <c r="D27">
        <v>1.4001467140129862</v>
      </c>
      <c r="E27">
        <v>1.8668622853506482</v>
      </c>
      <c r="F27">
        <v>2.3335778566883105</v>
      </c>
      <c r="G27">
        <v>2.8002934280259724</v>
      </c>
      <c r="H27">
        <v>3.7337245707012965</v>
      </c>
    </row>
  </sheetData>
  <pageMargins left="0.511811024" right="0.511811024" top="0.78740157499999996" bottom="0.78740157499999996" header="0.31496062000000002" footer="0.31496062000000002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22</vt:i4>
      </vt:variant>
    </vt:vector>
  </HeadingPairs>
  <TitlesOfParts>
    <vt:vector size="27" baseType="lpstr">
      <vt:lpstr>TAB.REMUNERAÇÃO</vt:lpstr>
      <vt:lpstr>Customização</vt:lpstr>
      <vt:lpstr>top e geo</vt:lpstr>
      <vt:lpstr>obra nova</vt:lpstr>
      <vt:lpstr>orçamento</vt:lpstr>
      <vt:lpstr>a_imper</vt:lpstr>
      <vt:lpstr>a_reforma</vt:lpstr>
      <vt:lpstr>AAP</vt:lpstr>
      <vt:lpstr>AEQ</vt:lpstr>
      <vt:lpstr>AGR</vt:lpstr>
      <vt:lpstr>APD</vt:lpstr>
      <vt:lpstr>APR</vt:lpstr>
      <vt:lpstr>APT</vt:lpstr>
      <vt:lpstr>TAB.REMUNERAÇÃO!Area_de_impressao</vt:lpstr>
      <vt:lpstr>ATE</vt:lpstr>
      <vt:lpstr>ATP</vt:lpstr>
      <vt:lpstr>CUSTO_M2</vt:lpstr>
      <vt:lpstr>CUSTO_TOTAL</vt:lpstr>
      <vt:lpstr>HT_TOTAL</vt:lpstr>
      <vt:lpstr>P_AGR</vt:lpstr>
      <vt:lpstr>P_APD</vt:lpstr>
      <vt:lpstr>P_APT</vt:lpstr>
      <vt:lpstr>TOTAL_G1</vt:lpstr>
      <vt:lpstr>TOTAL_G2</vt:lpstr>
      <vt:lpstr>TOTAL_G3</vt:lpstr>
      <vt:lpstr>TOTAL_G4</vt:lpstr>
      <vt:lpstr>TOTAL_G5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de Sa Moreira e Silva</dc:creator>
  <cp:lastModifiedBy>Reinaldo de Sa Moreira e Silva</cp:lastModifiedBy>
  <cp:lastPrinted>2019-08-23T19:14:17Z</cp:lastPrinted>
  <dcterms:created xsi:type="dcterms:W3CDTF">2018-03-22T13:44:54Z</dcterms:created>
  <dcterms:modified xsi:type="dcterms:W3CDTF">2019-08-23T19:16:28Z</dcterms:modified>
</cp:coreProperties>
</file>