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DE\PROJETOS\CONTRATAÇÃO PROJETOS 2019\TR\"/>
    </mc:Choice>
  </mc:AlternateContent>
  <xr:revisionPtr revIDLastSave="0" documentId="13_ncr:1_{9178CDFF-3818-4F9E-A9C5-CFEF372AF66E}" xr6:coauthVersionLast="38" xr6:coauthVersionMax="38" xr10:uidLastSave="{00000000-0000-0000-0000-000000000000}"/>
  <bookViews>
    <workbookView xWindow="0" yWindow="0" windowWidth="28800" windowHeight="12240" tabRatio="884" xr2:uid="{00000000-000D-0000-FFFF-FFFF00000000}"/>
  </bookViews>
  <sheets>
    <sheet name="CAPA" sheetId="21" r:id="rId1"/>
    <sheet name="B1-Sintético" sheetId="40" r:id="rId2"/>
    <sheet name="B2-Composições" sheetId="44" r:id="rId3"/>
    <sheet name="B3-Resumo" sheetId="48" r:id="rId4"/>
    <sheet name="B4a-Fator-K" sheetId="25" r:id="rId5"/>
    <sheet name="B4b-Det. K1" sheetId="26" r:id="rId6"/>
    <sheet name="B4c-Det. K2 e K3" sheetId="54" r:id="rId7"/>
    <sheet name="B4d-EC" sheetId="29" r:id="rId8"/>
  </sheets>
  <externalReferences>
    <externalReference r:id="rId9"/>
  </externalReferences>
  <definedNames>
    <definedName name="_xlnm._FilterDatabase" localSheetId="2" hidden="1">'B2-Composições'!$B$6:$H$102</definedName>
    <definedName name="AAP">[1]TAB.REMUNERAÇÃO!$F$27</definedName>
    <definedName name="AEQ">[1]TAB.REMUNERAÇÃO!$F$28</definedName>
    <definedName name="AEX">[1]TAB.REMUNERAÇÃO!$F$23</definedName>
    <definedName name="APD">[1]TAB.REMUNERAÇÃO!$F$20</definedName>
    <definedName name="APR">[1]TAB.REMUNERAÇÃO!$F$17</definedName>
    <definedName name="APT">[1]TAB.REMUNERAÇÃO!$F$21</definedName>
    <definedName name="_xlnm.Print_Area" localSheetId="1">'B1-Sintético'!$A$1:$H$26</definedName>
    <definedName name="_xlnm.Print_Area" localSheetId="2">'B2-Composições'!$A$1:$I$134</definedName>
    <definedName name="_xlnm.Print_Area" localSheetId="3">'B3-Resumo'!$A$1:$G$50</definedName>
    <definedName name="_xlnm.Print_Area" localSheetId="4">'B4a-Fator-K'!$A$1:$D$31</definedName>
    <definedName name="_xlnm.Print_Area" localSheetId="5">'B4b-Det. K1'!$A$1:$E$43</definedName>
    <definedName name="_xlnm.Print_Area" localSheetId="7">'B4d-EC'!$A$1:$F$18</definedName>
    <definedName name="_xlnm.Print_Area" localSheetId="0">CAPA!$A$1:$M$22</definedName>
    <definedName name="ATE">[1]TAB.REMUNERAÇÃO!$F$16</definedName>
    <definedName name="ATO">[1]TAB.REMUNERAÇÃO!$F$29</definedName>
    <definedName name="ATP">[1]TAB.REMUNERAÇÃO!$F$27</definedName>
    <definedName name="FatorK1">'B4a-Fator-K'!$C$8</definedName>
    <definedName name="FatorK2">'B4a-Fator-K'!$C$11</definedName>
    <definedName name="FatorK3">'B4a-Fator-K'!$C$14</definedName>
    <definedName name="FatorK4">'B4a-Fator-K'!$C$21</definedName>
    <definedName name="HR_AMB">[1]TAB.REMUNERAÇÃO!$D$7</definedName>
    <definedName name="HR_ARQ">[1]TAB.REMUNERAÇÃO!$D$8</definedName>
    <definedName name="HR_CERT">[1]TAB.REMUNERAÇÃO!$D$11</definedName>
    <definedName name="HR_COMP">[1]TAB.REMUNERAÇÃO!$D$9</definedName>
    <definedName name="HR_GEO">[1]TAB.REMUNERAÇÃO!$D$6</definedName>
    <definedName name="HR_PLAN">[1]TAB.REMUNERAÇÃO!$D$12</definedName>
    <definedName name="HR_REF">[1]TAB.REMUNERAÇÃO!$D$10</definedName>
    <definedName name="HR_TOP">[1]TAB.REMUNERAÇÃO!$D$5</definedName>
    <definedName name="P_AEX">[1]TAB.REMUNERAÇÃO!$E$23</definedName>
    <definedName name="P_AGR">[1]TAB.REMUNERAÇÃO!$E$25</definedName>
    <definedName name="P_APD">[1]TAB.REMUNERAÇÃO!$E$20</definedName>
    <definedName name="P_APT">[1]TAB.REMUNERAÇÃO!$E$21</definedName>
    <definedName name="P_APV">[1]TAB.REMUNERAÇÃO!$E$24</definedName>
    <definedName name="TAB_INSUMOS">'B2-Composições'!$C$110:$H$123</definedName>
  </definedNames>
  <calcPr calcId="181029" iterate="1"/>
</workbook>
</file>

<file path=xl/calcChain.xml><?xml version="1.0" encoding="utf-8"?>
<calcChain xmlns="http://schemas.openxmlformats.org/spreadsheetml/2006/main">
  <c r="J11" i="40" l="1"/>
  <c r="H112" i="44" l="1"/>
  <c r="G82" i="44" s="1"/>
  <c r="D82" i="44"/>
  <c r="C10" i="48" s="1"/>
  <c r="H82" i="44" l="1"/>
  <c r="E10" i="48"/>
  <c r="F55" i="44"/>
  <c r="F31" i="44"/>
  <c r="F19" i="44"/>
  <c r="F7" i="44"/>
  <c r="D8" i="40" l="1"/>
  <c r="D9" i="40"/>
  <c r="D10" i="40"/>
  <c r="D11" i="40"/>
  <c r="D12" i="40"/>
  <c r="D13" i="40"/>
  <c r="D14" i="40"/>
  <c r="D15" i="40"/>
  <c r="K33" i="44"/>
  <c r="F36" i="44"/>
  <c r="D33" i="44"/>
  <c r="F86" i="44"/>
  <c r="D83" i="44"/>
  <c r="F75" i="44" l="1"/>
  <c r="D72" i="44"/>
  <c r="D71" i="44"/>
  <c r="K67" i="44"/>
  <c r="K66" i="44"/>
  <c r="K63" i="44"/>
  <c r="K62" i="44"/>
  <c r="C15" i="40"/>
  <c r="K39" i="44"/>
  <c r="K38" i="44"/>
  <c r="K35" i="44"/>
  <c r="K34" i="44"/>
  <c r="K32" i="44"/>
  <c r="D15" i="48" s="1"/>
  <c r="K28" i="44"/>
  <c r="K27" i="44"/>
  <c r="K16" i="44"/>
  <c r="K15" i="44"/>
  <c r="K12" i="44"/>
  <c r="K11" i="44"/>
  <c r="K24" i="44"/>
  <c r="K23" i="44"/>
  <c r="K22" i="44"/>
  <c r="D18" i="48" s="1"/>
  <c r="K21" i="44"/>
  <c r="K20" i="44"/>
  <c r="F98" i="44"/>
  <c r="F25" i="44"/>
  <c r="K25" i="44" s="1"/>
  <c r="L25" i="44" s="1"/>
  <c r="F13" i="44"/>
  <c r="K13" i="44" s="1"/>
  <c r="L13" i="44" s="1"/>
  <c r="K10" i="44"/>
  <c r="D21" i="48" s="1"/>
  <c r="K9" i="44"/>
  <c r="D16" i="48" s="1"/>
  <c r="K8" i="44"/>
  <c r="D22" i="44"/>
  <c r="C18" i="48" s="1"/>
  <c r="H120" i="44"/>
  <c r="G22" i="44" s="1"/>
  <c r="D21" i="44"/>
  <c r="C20" i="48" s="1"/>
  <c r="D20" i="44"/>
  <c r="D95" i="44"/>
  <c r="D94" i="44"/>
  <c r="D93" i="44"/>
  <c r="D10" i="44"/>
  <c r="C21" i="48" s="1"/>
  <c r="H122" i="44"/>
  <c r="H123" i="44"/>
  <c r="G10" i="44" s="1"/>
  <c r="C14" i="40"/>
  <c r="C13" i="40"/>
  <c r="C9" i="40"/>
  <c r="C8" i="40"/>
  <c r="D9" i="44"/>
  <c r="C16" i="48" s="1"/>
  <c r="H118" i="44"/>
  <c r="G9" i="44" s="1"/>
  <c r="D8" i="44"/>
  <c r="C10" i="40"/>
  <c r="H117" i="44"/>
  <c r="K36" i="44"/>
  <c r="L36" i="44" s="1"/>
  <c r="D32" i="44"/>
  <c r="C15" i="48" s="1"/>
  <c r="H10" i="44" l="1"/>
  <c r="L10" i="44"/>
  <c r="H22" i="44"/>
  <c r="L22" i="44"/>
  <c r="H9" i="44"/>
  <c r="L9" i="44"/>
  <c r="G83" i="44"/>
  <c r="G33" i="44"/>
  <c r="L33" i="44" s="1"/>
  <c r="G21" i="44"/>
  <c r="G94" i="44"/>
  <c r="G72" i="44"/>
  <c r="E21" i="48"/>
  <c r="F21" i="48" s="1"/>
  <c r="E18" i="48"/>
  <c r="F18" i="48" s="1"/>
  <c r="E16" i="48"/>
  <c r="F16" i="48" s="1"/>
  <c r="K60" i="44"/>
  <c r="C11" i="40"/>
  <c r="H72" i="44" l="1"/>
  <c r="H83" i="44"/>
  <c r="H94" i="44"/>
  <c r="H21" i="44"/>
  <c r="L21" i="44"/>
  <c r="H33" i="44"/>
  <c r="E20" i="48"/>
  <c r="C12" i="40"/>
  <c r="D60" i="44"/>
  <c r="D45" i="44"/>
  <c r="C19" i="48" s="1"/>
  <c r="D44" i="44"/>
  <c r="D46" i="44"/>
  <c r="C17" i="48" s="1"/>
  <c r="D43" i="44"/>
  <c r="D56" i="44"/>
  <c r="F49" i="44"/>
  <c r="D61" i="44"/>
  <c r="D59" i="44"/>
  <c r="C14" i="48" s="1"/>
  <c r="D58" i="44"/>
  <c r="D57" i="44"/>
  <c r="H113" i="44"/>
  <c r="G44" i="44" s="1"/>
  <c r="H114" i="44"/>
  <c r="H115" i="44"/>
  <c r="H116" i="44"/>
  <c r="H119" i="44"/>
  <c r="H121" i="44"/>
  <c r="H111" i="44"/>
  <c r="G43" i="44" s="1"/>
  <c r="G45" i="44" l="1"/>
  <c r="G95" i="44"/>
  <c r="G20" i="44"/>
  <c r="L20" i="44" s="1"/>
  <c r="G71" i="44"/>
  <c r="G93" i="44"/>
  <c r="G57" i="44"/>
  <c r="G8" i="44"/>
  <c r="L8" i="44" s="1"/>
  <c r="G46" i="44"/>
  <c r="G32" i="44"/>
  <c r="L32" i="44" s="1"/>
  <c r="G60" i="44"/>
  <c r="L60" i="44" s="1"/>
  <c r="H43" i="44"/>
  <c r="H44" i="44"/>
  <c r="G56" i="44"/>
  <c r="G61" i="44"/>
  <c r="G58" i="44"/>
  <c r="G59" i="44"/>
  <c r="E19" i="48" l="1"/>
  <c r="E14" i="48"/>
  <c r="E17" i="48"/>
  <c r="H45" i="44"/>
  <c r="H20" i="44"/>
  <c r="H93" i="44"/>
  <c r="H95" i="44"/>
  <c r="H71" i="44"/>
  <c r="H8" i="44"/>
  <c r="H32" i="44"/>
  <c r="E15" i="48"/>
  <c r="F15" i="48" s="1"/>
  <c r="H46" i="44"/>
  <c r="H60" i="44"/>
  <c r="K57" i="44"/>
  <c r="L57" i="44" s="1"/>
  <c r="K58" i="44"/>
  <c r="L58" i="44" s="1"/>
  <c r="K59" i="44"/>
  <c r="L59" i="44" s="1"/>
  <c r="D14" i="48" l="1"/>
  <c r="F14" i="48" s="1"/>
  <c r="H57" i="44"/>
  <c r="H59" i="44"/>
  <c r="H58" i="44"/>
  <c r="B15" i="54" l="1"/>
  <c r="C10" i="25" s="1"/>
  <c r="B20" i="54"/>
  <c r="C13" i="25" s="1"/>
  <c r="D44" i="48" l="1"/>
  <c r="D43" i="48"/>
  <c r="D42" i="48"/>
  <c r="C30" i="48"/>
  <c r="C12" i="48" l="1"/>
  <c r="C9" i="48"/>
  <c r="C11" i="48" l="1"/>
  <c r="C13" i="48"/>
  <c r="E8" i="29" l="1"/>
  <c r="E9" i="29"/>
  <c r="E10" i="29"/>
  <c r="E7" i="29"/>
  <c r="K61" i="44" l="1"/>
  <c r="L61" i="44" s="1"/>
  <c r="K56" i="44"/>
  <c r="L56" i="44" s="1"/>
  <c r="E11" i="29"/>
  <c r="G98" i="44" l="1"/>
  <c r="H98" i="44" s="1"/>
  <c r="G86" i="44"/>
  <c r="H86" i="44" s="1"/>
  <c r="G25" i="44"/>
  <c r="G75" i="44"/>
  <c r="H75" i="44" s="1"/>
  <c r="G13" i="44"/>
  <c r="G36" i="44"/>
  <c r="G49" i="44"/>
  <c r="H49" i="44" s="1"/>
  <c r="G64" i="44"/>
  <c r="E30" i="48" s="1"/>
  <c r="E9" i="48"/>
  <c r="E12" i="48"/>
  <c r="E13" i="48"/>
  <c r="E11" i="48"/>
  <c r="C14" i="25"/>
  <c r="C11" i="25"/>
  <c r="H25" i="44" l="1"/>
  <c r="H36" i="44"/>
  <c r="D35" i="48"/>
  <c r="F35" i="44"/>
  <c r="G35" i="44" s="1"/>
  <c r="L35" i="44" s="1"/>
  <c r="F97" i="44"/>
  <c r="G97" i="44" s="1"/>
  <c r="F24" i="44"/>
  <c r="G24" i="44" s="1"/>
  <c r="L24" i="44" s="1"/>
  <c r="F85" i="44"/>
  <c r="G85" i="44" s="1"/>
  <c r="F74" i="44"/>
  <c r="G74" i="44" s="1"/>
  <c r="F12" i="44"/>
  <c r="G12" i="44" s="1"/>
  <c r="L12" i="44" s="1"/>
  <c r="F48" i="44"/>
  <c r="G48" i="44" s="1"/>
  <c r="F88" i="44"/>
  <c r="F27" i="44"/>
  <c r="F77" i="44"/>
  <c r="F15" i="44"/>
  <c r="F38" i="44"/>
  <c r="F100" i="44"/>
  <c r="F51" i="44"/>
  <c r="H13" i="44"/>
  <c r="F66" i="44"/>
  <c r="D39" i="48"/>
  <c r="D13" i="48"/>
  <c r="F13" i="48" s="1"/>
  <c r="F63" i="44"/>
  <c r="H61" i="44"/>
  <c r="C17" i="25"/>
  <c r="C16" i="25"/>
  <c r="H48" i="44" l="1"/>
  <c r="H74" i="44"/>
  <c r="H85" i="44"/>
  <c r="H97" i="44"/>
  <c r="H24" i="44"/>
  <c r="H12" i="44"/>
  <c r="H35" i="44"/>
  <c r="F64" i="44"/>
  <c r="H56" i="44"/>
  <c r="D39" i="26"/>
  <c r="D35" i="26"/>
  <c r="D28" i="26"/>
  <c r="D16" i="26"/>
  <c r="G63" i="44" l="1"/>
  <c r="L63" i="44" s="1"/>
  <c r="H64" i="44"/>
  <c r="K64" i="44"/>
  <c r="L64" i="44" s="1"/>
  <c r="D40" i="26"/>
  <c r="C7" i="25" s="1"/>
  <c r="C8" i="25" s="1"/>
  <c r="F73" i="44" l="1"/>
  <c r="G73" i="44" s="1"/>
  <c r="F11" i="44"/>
  <c r="G11" i="44" s="1"/>
  <c r="L11" i="44" s="1"/>
  <c r="F34" i="44"/>
  <c r="G34" i="44" s="1"/>
  <c r="L34" i="44" s="1"/>
  <c r="F84" i="44"/>
  <c r="G84" i="44" s="1"/>
  <c r="F23" i="44"/>
  <c r="G23" i="44" s="1"/>
  <c r="L23" i="44" s="1"/>
  <c r="F96" i="44"/>
  <c r="G96" i="44" s="1"/>
  <c r="F62" i="44"/>
  <c r="G62" i="44" s="1"/>
  <c r="L62" i="44" s="1"/>
  <c r="F47" i="44"/>
  <c r="G47" i="44" s="1"/>
  <c r="H63" i="44"/>
  <c r="H84" i="44" l="1"/>
  <c r="H87" i="44" s="1"/>
  <c r="G88" i="44" s="1"/>
  <c r="H96" i="44"/>
  <c r="H99" i="44" s="1"/>
  <c r="G100" i="44" s="1"/>
  <c r="H73" i="44"/>
  <c r="H76" i="44" s="1"/>
  <c r="G77" i="44" s="1"/>
  <c r="H34" i="44"/>
  <c r="H37" i="44" s="1"/>
  <c r="G38" i="44" s="1"/>
  <c r="L38" i="44" s="1"/>
  <c r="H11" i="44"/>
  <c r="H14" i="44" s="1"/>
  <c r="G15" i="44" s="1"/>
  <c r="L15" i="44" s="1"/>
  <c r="H23" i="44"/>
  <c r="H26" i="44" s="1"/>
  <c r="G27" i="44" s="1"/>
  <c r="L27" i="44" s="1"/>
  <c r="H62" i="44"/>
  <c r="H65" i="44" s="1"/>
  <c r="H47" i="44"/>
  <c r="H50" i="44" s="1"/>
  <c r="H100" i="44" l="1"/>
  <c r="H77" i="44"/>
  <c r="H88" i="44"/>
  <c r="H27" i="44"/>
  <c r="H38" i="44"/>
  <c r="H15" i="44"/>
  <c r="G51" i="44"/>
  <c r="G66" i="44"/>
  <c r="L66" i="44" s="1"/>
  <c r="H51" i="44" l="1"/>
  <c r="H66" i="44"/>
  <c r="C19" i="25" l="1"/>
  <c r="C21" i="25" s="1"/>
  <c r="F78" i="44" l="1"/>
  <c r="G78" i="44" s="1"/>
  <c r="F16" i="44"/>
  <c r="G16" i="44" s="1"/>
  <c r="L16" i="44" s="1"/>
  <c r="F39" i="44"/>
  <c r="G39" i="44" s="1"/>
  <c r="L39" i="44" s="1"/>
  <c r="F101" i="44"/>
  <c r="G101" i="44" s="1"/>
  <c r="F89" i="44"/>
  <c r="G89" i="44" s="1"/>
  <c r="F28" i="44"/>
  <c r="G28" i="44" s="1"/>
  <c r="L28" i="44" s="1"/>
  <c r="F52" i="44"/>
  <c r="G52" i="44" s="1"/>
  <c r="F67" i="44"/>
  <c r="G67" i="44" s="1"/>
  <c r="C23" i="25"/>
  <c r="L67" i="44" l="1"/>
  <c r="M68" i="44" s="1"/>
  <c r="H101" i="44"/>
  <c r="H102" i="44" s="1"/>
  <c r="G92" i="44" s="1"/>
  <c r="F15" i="40" s="1"/>
  <c r="H52" i="44"/>
  <c r="H53" i="44" s="1"/>
  <c r="G42" i="44" s="1"/>
  <c r="F11" i="40" s="1"/>
  <c r="H89" i="44"/>
  <c r="H90" i="44" s="1"/>
  <c r="G81" i="44" s="1"/>
  <c r="F14" i="40" s="1"/>
  <c r="H78" i="44"/>
  <c r="H79" i="44" s="1"/>
  <c r="G70" i="44" s="1"/>
  <c r="F13" i="40" s="1"/>
  <c r="H39" i="44"/>
  <c r="H40" i="44" s="1"/>
  <c r="G31" i="44" s="1"/>
  <c r="F10" i="40" s="1"/>
  <c r="M40" i="44"/>
  <c r="M29" i="44"/>
  <c r="H28" i="44"/>
  <c r="H29" i="44" s="1"/>
  <c r="G19" i="44" s="1"/>
  <c r="F9" i="40" s="1"/>
  <c r="H16" i="44"/>
  <c r="H17" i="44" s="1"/>
  <c r="G7" i="44" s="1"/>
  <c r="F8" i="40" s="1"/>
  <c r="M17" i="44"/>
  <c r="H67" i="44"/>
  <c r="H68" i="44" s="1"/>
  <c r="G9" i="40" l="1"/>
  <c r="H19" i="44"/>
  <c r="G8" i="40"/>
  <c r="H7" i="44"/>
  <c r="G10" i="40"/>
  <c r="H31" i="44"/>
  <c r="G55" i="44"/>
  <c r="F12" i="40" s="1"/>
  <c r="G12" i="40" l="1"/>
  <c r="H55" i="44"/>
  <c r="G11" i="40" l="1"/>
  <c r="F42" i="44"/>
  <c r="K44" i="44" s="1"/>
  <c r="L44" i="44" s="1"/>
  <c r="G13" i="40"/>
  <c r="F70" i="44"/>
  <c r="K71" i="44" s="1"/>
  <c r="L71" i="44" s="1"/>
  <c r="K72" i="44" l="1"/>
  <c r="L72" i="44" s="1"/>
  <c r="H42" i="44"/>
  <c r="K74" i="44"/>
  <c r="L74" i="44" s="1"/>
  <c r="K51" i="44"/>
  <c r="L51" i="44" s="1"/>
  <c r="K45" i="44"/>
  <c r="L45" i="44" s="1"/>
  <c r="K77" i="44"/>
  <c r="L77" i="44" s="1"/>
  <c r="H70" i="44"/>
  <c r="K49" i="44"/>
  <c r="L49" i="44" s="1"/>
  <c r="K48" i="44"/>
  <c r="L48" i="44" s="1"/>
  <c r="K47" i="44"/>
  <c r="L47" i="44" s="1"/>
  <c r="D11" i="48"/>
  <c r="F11" i="48" s="1"/>
  <c r="K43" i="44"/>
  <c r="L43" i="44" s="1"/>
  <c r="K52" i="44"/>
  <c r="L52" i="44" s="1"/>
  <c r="K46" i="44"/>
  <c r="L46" i="44" s="1"/>
  <c r="D17" i="48"/>
  <c r="F17" i="48" s="1"/>
  <c r="K78" i="44"/>
  <c r="L78" i="44" s="1"/>
  <c r="K75" i="44"/>
  <c r="L75" i="44" s="1"/>
  <c r="K73" i="44"/>
  <c r="L73" i="44" s="1"/>
  <c r="M53" i="44" l="1"/>
  <c r="M79" i="44"/>
  <c r="G14" i="40"/>
  <c r="F81" i="44"/>
  <c r="H81" i="44" s="1"/>
  <c r="G15" i="40"/>
  <c r="I11" i="40" s="1"/>
  <c r="K11" i="40" s="1"/>
  <c r="F92" i="44"/>
  <c r="H92" i="44" s="1"/>
  <c r="K85" i="44" l="1"/>
  <c r="L85" i="44" s="1"/>
  <c r="K86" i="44"/>
  <c r="L86" i="44" s="1"/>
  <c r="K84" i="44"/>
  <c r="L84" i="44" s="1"/>
  <c r="K89" i="44"/>
  <c r="L89" i="44" s="1"/>
  <c r="K82" i="44"/>
  <c r="L82" i="44" s="1"/>
  <c r="D9" i="48"/>
  <c r="F9" i="48" s="1"/>
  <c r="D10" i="48"/>
  <c r="F10" i="48" s="1"/>
  <c r="K101" i="44"/>
  <c r="L101" i="44" s="1"/>
  <c r="K96" i="44"/>
  <c r="L96" i="44" s="1"/>
  <c r="K94" i="44"/>
  <c r="L94" i="44" s="1"/>
  <c r="K83" i="44"/>
  <c r="L83" i="44" s="1"/>
  <c r="K98" i="44"/>
  <c r="L98" i="44" s="1"/>
  <c r="K88" i="44"/>
  <c r="L88" i="44" s="1"/>
  <c r="G16" i="40"/>
  <c r="K100" i="44"/>
  <c r="L100" i="44" s="1"/>
  <c r="K97" i="44"/>
  <c r="L97" i="44" s="1"/>
  <c r="K95" i="44"/>
  <c r="L95" i="44" s="1"/>
  <c r="K93" i="44"/>
  <c r="L93" i="44" s="1"/>
  <c r="D30" i="48" l="1"/>
  <c r="F30" i="48" s="1"/>
  <c r="F31" i="48" s="1"/>
  <c r="M90" i="44"/>
  <c r="D20" i="48"/>
  <c r="F20" i="48" s="1"/>
  <c r="D19" i="48"/>
  <c r="F19" i="48" s="1"/>
  <c r="D12" i="48"/>
  <c r="F12" i="48" s="1"/>
  <c r="M102" i="44" l="1"/>
  <c r="M105" i="44" s="1"/>
  <c r="F22" i="48"/>
  <c r="F25" i="48" s="1"/>
  <c r="F27" i="48" s="1"/>
  <c r="F36" i="48" l="1"/>
  <c r="F40" i="48" s="1"/>
  <c r="F32" i="48"/>
  <c r="F42" i="48" l="1"/>
  <c r="F43" i="48"/>
  <c r="F44" i="48"/>
  <c r="F46" i="48"/>
  <c r="F49" i="48"/>
</calcChain>
</file>

<file path=xl/sharedStrings.xml><?xml version="1.0" encoding="utf-8"?>
<sst xmlns="http://schemas.openxmlformats.org/spreadsheetml/2006/main" count="472" uniqueCount="253">
  <si>
    <t>ITEM</t>
  </si>
  <si>
    <t>DISCRIMINAÇÃO</t>
  </si>
  <si>
    <t>%</t>
  </si>
  <si>
    <t>DESCRIÇÃO</t>
  </si>
  <si>
    <t>Descrição</t>
  </si>
  <si>
    <t>TRIBUNAL REGIONAL DO TRABALHO DA 18ª REGIÃO</t>
  </si>
  <si>
    <t>DATA DO ORÇAMENTO</t>
  </si>
  <si>
    <t>DADOS GERAIS DO ORÇAMENTO</t>
  </si>
  <si>
    <t>(atualizar com Control+ponto e virgula)</t>
  </si>
  <si>
    <t>SECRETARIA DE MANUTENÇÃO E PROJETOS</t>
  </si>
  <si>
    <t>DIVISÃO DE ENGENHARIA</t>
  </si>
  <si>
    <t>(CÓDIGO TRIBUTÁRIO DO MUNICÍPIO) ISSQN</t>
  </si>
  <si>
    <t>( 1 – I )</t>
  </si>
  <si>
    <t>TABELA UTILIZADA</t>
  </si>
  <si>
    <t>(CONFORME DECRETO 7983/13)</t>
  </si>
  <si>
    <t>(publicação oficial www.caixa.gov.br/sinapi)</t>
  </si>
  <si>
    <t>PLANILHA ORÇAMENTÁRIA DE REFERÊNCIA</t>
  </si>
  <si>
    <t>A4</t>
  </si>
  <si>
    <t>Código</t>
  </si>
  <si>
    <t>C1</t>
  </si>
  <si>
    <t>A1</t>
  </si>
  <si>
    <t>E1</t>
  </si>
  <si>
    <t>E2</t>
  </si>
  <si>
    <t>GOIÂNIA</t>
  </si>
  <si>
    <t>SEM DESONERAÇÃO</t>
  </si>
  <si>
    <t>REF. MUNICIPIO GOIÂNIA - SEM DESONERAÇÃO</t>
  </si>
  <si>
    <t>Encargo</t>
  </si>
  <si>
    <t>ALIMENTACAO - MENSALISTA (ENCARGOS COMPLEMENTARES) (COLETADO CAIXA)</t>
  </si>
  <si>
    <t>SEGURO - MENSALISTA (ENCARGOS COMPLEMENTARES) (COLETADO CAIXA)</t>
  </si>
  <si>
    <t>EXAMES - MENSALISTA (ENCARGOS COMPLEMENTARES) (COLETADO CAIXA)</t>
  </si>
  <si>
    <t>TRANSPORTE - MENSALISTA (ENCARGOS COMPLEMENTARES) (COLETADO CAIXA)</t>
  </si>
  <si>
    <t>Custo Mensal</t>
  </si>
  <si>
    <t>Custo Horário*</t>
  </si>
  <si>
    <t>TOTAL</t>
  </si>
  <si>
    <t>Código/Referência</t>
  </si>
  <si>
    <t>NOTAS</t>
  </si>
  <si>
    <t>- Baseou-se na metodologia do SINAPI, descrita no Livro de Metodologias e Conceitos do SINAPI, publicação da CEF</t>
  </si>
  <si>
    <t>e disponibilizado em www.caixa.gov.br/sinapi</t>
  </si>
  <si>
    <t>SERVIÇOS DE CONSULTORIA EM ENGENHARIA</t>
  </si>
  <si>
    <t>SERVIÇO</t>
  </si>
  <si>
    <t>CIDADE DE PRESTAÇÃO</t>
  </si>
  <si>
    <t>CUSTO UNITARIO</t>
  </si>
  <si>
    <t>PREÇO UNITÁRIO</t>
  </si>
  <si>
    <t>Notas Técnicas</t>
  </si>
  <si>
    <t>A2</t>
  </si>
  <si>
    <t>E3</t>
  </si>
  <si>
    <t>- Ref. Indica "Referência de Custo"</t>
  </si>
  <si>
    <t>1 - MÃO DE OBRA LOTADA EM ESCRITÓRIO</t>
  </si>
  <si>
    <t>- Equipamentos/Ferramentas específicas descritos no Quadro C3</t>
  </si>
  <si>
    <t>UNIDADE</t>
  </si>
  <si>
    <t>A3</t>
  </si>
  <si>
    <t>A5</t>
  </si>
  <si>
    <t>A6</t>
  </si>
  <si>
    <t>A7</t>
  </si>
  <si>
    <t>A8</t>
  </si>
  <si>
    <t>A9</t>
  </si>
  <si>
    <t>A</t>
  </si>
  <si>
    <t>INSS</t>
  </si>
  <si>
    <t>SESI</t>
  </si>
  <si>
    <t>SENAI</t>
  </si>
  <si>
    <t>INCRA</t>
  </si>
  <si>
    <t>SEBRAE</t>
  </si>
  <si>
    <t>SALÁRIO EDUCAÇÃO</t>
  </si>
  <si>
    <t>SEGURO CONTRA ACIDENTES DO TRABALHO</t>
  </si>
  <si>
    <t xml:space="preserve">FGTS </t>
  </si>
  <si>
    <t>Total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</si>
  <si>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</si>
  <si>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</si>
  <si>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</si>
  <si>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</si>
  <si>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</si>
  <si>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</si>
  <si>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</si>
  <si>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</si>
  <si>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</si>
  <si>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</si>
  <si>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Repouso semanal remunerado</t>
  </si>
  <si>
    <t>Feriados</t>
  </si>
  <si>
    <t>Auxílio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</si>
  <si>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</si>
  <si>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</si>
  <si>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</si>
  <si>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</si>
  <si>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</si>
  <si>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</si>
  <si>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</si>
  <si>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B</t>
  </si>
  <si>
    <t>GRUPO A</t>
  </si>
  <si>
    <t>C2</t>
  </si>
  <si>
    <t>C3</t>
  </si>
  <si>
    <t>C4</t>
  </si>
  <si>
    <t>C5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</si>
  <si>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</si>
  <si>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</si>
  <si>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</si>
  <si>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</si>
  <si>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</si>
  <si>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C</t>
  </si>
  <si>
    <t>GRUPO B</t>
  </si>
  <si>
    <t>GRUPO C</t>
  </si>
  <si>
    <t>GRUPO D</t>
  </si>
  <si>
    <t>D1</t>
  </si>
  <si>
    <t>D2</t>
  </si>
  <si>
    <t>D</t>
  </si>
  <si>
    <t>Reincidência do Grupo A sobre o Grupo B</t>
  </si>
  <si>
    <t>Reincidência de Grupo A sobre Aviso Prévio Trabalhado e Reincidência do FGTS sobre Aviso prévio Indenizado</t>
  </si>
  <si>
    <t>TOTAL (A+B+C+D)</t>
  </si>
  <si>
    <t>PIS (regime de lucro real)</t>
  </si>
  <si>
    <t>COFINS (regime de lucro real)</t>
  </si>
  <si>
    <t>H</t>
  </si>
  <si>
    <t>PARCIAL</t>
  </si>
  <si>
    <t>Preço de venda</t>
  </si>
  <si>
    <t>Total dos custos diretos e indiretos</t>
  </si>
  <si>
    <t>k1</t>
  </si>
  <si>
    <t>k2</t>
  </si>
  <si>
    <t>k3</t>
  </si>
  <si>
    <t>k4</t>
  </si>
  <si>
    <t>Administração Central / overhead, incidente sobre custo direto com mão de obra</t>
  </si>
  <si>
    <t>Remuneração bruta</t>
  </si>
  <si>
    <t>Encargos sociais mensalista (ES)</t>
  </si>
  <si>
    <t>ENCARGOS SOCIAIS</t>
  </si>
  <si>
    <t>k1 =</t>
  </si>
  <si>
    <t>k2 =</t>
  </si>
  <si>
    <t>k3 =</t>
  </si>
  <si>
    <t>k4 =</t>
  </si>
  <si>
    <t>K = (1+k1)(1+k2)(1+k3)(1+k4)</t>
  </si>
  <si>
    <t>Encargos complementares (alimentação, transporte, exames, seguro, epi)</t>
  </si>
  <si>
    <t>QTD</t>
  </si>
  <si>
    <t>EC</t>
  </si>
  <si>
    <t>- Utilizou-se o divisor de 220 para encontrar o custo horário.</t>
  </si>
  <si>
    <t>Insumo 40862/Sinapi</t>
  </si>
  <si>
    <t>Insumo 40864/Sinapi</t>
  </si>
  <si>
    <t>Insumo 40863/Sinapi</t>
  </si>
  <si>
    <t>Insumo 40861/Sinapi</t>
  </si>
  <si>
    <t>- O custo horário sem encargos é calculado como: C = Custo_Mensal/(1+ES)/220, onde ES é o percentual de encargos sociais considerado.</t>
  </si>
  <si>
    <t>- O custo horário sem encargos é computado pois a metodologia do fator K aplica os encargos sociais posteriormente, no fator K1</t>
  </si>
  <si>
    <t>- Os nivel salarial adotado baseou-se nos padrões salariais semelhantes existentes no SINAPI, tendo em vista que o sistema não disponibiliza</t>
  </si>
  <si>
    <t>salarios para todas as funções em tela.</t>
  </si>
  <si>
    <t>QTD TOTAL</t>
  </si>
  <si>
    <t>PERCENTUAL</t>
  </si>
  <si>
    <t>NOTAS:</t>
  </si>
  <si>
    <t>- PIS e COFINS consideraram beneficio fiscal de 20%, por recomendação</t>
  </si>
  <si>
    <t>do TCU</t>
  </si>
  <si>
    <t>- ISSQN do Código Tributario do Municipio de Goiânia</t>
  </si>
  <si>
    <t>Custo Unitário</t>
  </si>
  <si>
    <t>Custo Total</t>
  </si>
  <si>
    <t>Quantidade Total</t>
  </si>
  <si>
    <t>A - Mão de Obra</t>
  </si>
  <si>
    <t>B - Outros gastos</t>
  </si>
  <si>
    <t xml:space="preserve">TOTAL B = </t>
  </si>
  <si>
    <t>C - Administração (overhead)</t>
  </si>
  <si>
    <t>D - Remuneração bruta da empresa</t>
  </si>
  <si>
    <t>TOTAL C =</t>
  </si>
  <si>
    <t>A.2 - Encargos Sociais</t>
  </si>
  <si>
    <t>ES</t>
  </si>
  <si>
    <t>Total A1</t>
  </si>
  <si>
    <t>Total A2</t>
  </si>
  <si>
    <t>E - Despesas fiscais</t>
  </si>
  <si>
    <t>TOTAL DOS CUSTOS DIRETOS</t>
  </si>
  <si>
    <t>sobre A1</t>
  </si>
  <si>
    <t>TOTAL D =</t>
  </si>
  <si>
    <t>sobre (A+B+C)</t>
  </si>
  <si>
    <t>PIS</t>
  </si>
  <si>
    <t>COFINS</t>
  </si>
  <si>
    <t>ISS</t>
  </si>
  <si>
    <t>TOTAL DO ORÇAMENTO</t>
  </si>
  <si>
    <t>TOTAL E =</t>
  </si>
  <si>
    <t>74,51% do A1</t>
  </si>
  <si>
    <t>de A+B+C+D+E</t>
  </si>
  <si>
    <t xml:space="preserve">(A1+A2) TOTAL A </t>
  </si>
  <si>
    <t>TAXA</t>
  </si>
  <si>
    <t>Custos de Capacitação e Atualização Técnica</t>
  </si>
  <si>
    <t>Assinatura de Publicações Especializadas</t>
  </si>
  <si>
    <t>Manutenção e Automação do Acervo Técnico</t>
  </si>
  <si>
    <t>Custos de Acesso a Banco de Dados Computadorizados Nacionais/Estrangeiros</t>
  </si>
  <si>
    <t>Mão de Obra Administrativa e Treinamento de Recursos Humanos</t>
  </si>
  <si>
    <t>Desenvolvimento Comercial</t>
  </si>
  <si>
    <t>Despesas Legais, Bancos e Seguros</t>
  </si>
  <si>
    <t>Comunicação (telefone, fax, malote)</t>
  </si>
  <si>
    <t>Honorários (Contadores, Advogados, Auditores)</t>
  </si>
  <si>
    <t>Outras Despesas</t>
  </si>
  <si>
    <t>CUSTOS ADMINISTRATIVOS (ver detalhamento)</t>
  </si>
  <si>
    <t>PLANILHA DE REMUNERAÇÃO DA EMPRESA (k3)</t>
  </si>
  <si>
    <t>PLANILHA DE CUSTOS ADMINISTRATTIVOS (k2)</t>
  </si>
  <si>
    <t xml:space="preserve"> REMUNERAÇÃO BRUTA 
(ver detalhamento)</t>
  </si>
  <si>
    <t>R$ TOTAL</t>
  </si>
  <si>
    <t>- Os custos atendem às disposições do Decreto 7983/2013 e Resolução 070 CSJT</t>
  </si>
  <si>
    <t>- O detalhamento dos custos encontra-se no Quadro C.2 (Composições Analíticas)</t>
  </si>
  <si>
    <t>% encargos</t>
  </si>
  <si>
    <t>Custo horário sem encargos</t>
  </si>
  <si>
    <t>Divisor Horário</t>
  </si>
  <si>
    <t>ARQ</t>
  </si>
  <si>
    <t>DES</t>
  </si>
  <si>
    <t>MEC</t>
  </si>
  <si>
    <t>ELE</t>
  </si>
  <si>
    <t>CIV</t>
  </si>
  <si>
    <t>GER</t>
  </si>
  <si>
    <t>Custo mensal
(c/ Encargos)</t>
  </si>
  <si>
    <t>Impostos ( k4 = 1/(1-i) - 1)</t>
  </si>
  <si>
    <t>QUANTIDADE ESTIMADA</t>
  </si>
  <si>
    <t>Gerente de projetos (Engenheiro ou Arquiteto Sênior) - Ref. 40938 Sinapi - mensalista</t>
  </si>
  <si>
    <t>Engenheiro Pleno (Civil) Ref. 40937 Sinapi - mensalista</t>
  </si>
  <si>
    <t>Engenheiro Pleno (Elétrica) Ref. 40939 Sinapi - mensalista</t>
  </si>
  <si>
    <t>Engenheiro Pleno (Mecânica) - Ref. 40939 Sinapi - mensalista</t>
  </si>
  <si>
    <t>Desenhista/Cadista - Ref. 40807 - mensalista</t>
  </si>
  <si>
    <t>Arquiteto Sênior - Ref. 40817 Sinapi -  mensalista</t>
  </si>
  <si>
    <t>Desenhista auxiliar - Ref. 40808 - mensalista</t>
  </si>
  <si>
    <t>INSUMOS</t>
  </si>
  <si>
    <t>SECONCI (não se aplica)</t>
  </si>
  <si>
    <t>AMB</t>
  </si>
  <si>
    <t>Engenheiro Ambiental - Ref. 40937 Sinapi - mensalista</t>
  </si>
  <si>
    <t>TOP</t>
  </si>
  <si>
    <t>Topógrafo - Ref 40820 Sinapi - mensalista</t>
  </si>
  <si>
    <t>AUXTOP</t>
  </si>
  <si>
    <t>Auxiliar técnico de engenharia - Ref. 40931 - mensalista</t>
  </si>
  <si>
    <t>AUXTEC</t>
  </si>
  <si>
    <t>AUXDES</t>
  </si>
  <si>
    <t>Auxiliar de topógrafo - Ref. 41093 - mensalista</t>
  </si>
  <si>
    <t>SON</t>
  </si>
  <si>
    <t>Técnico em sondagem - Ref 41092 - mensalista</t>
  </si>
  <si>
    <t>A.1 - Honorários equipe técnica e administrativa</t>
  </si>
  <si>
    <t>TOTAL =</t>
  </si>
  <si>
    <t>GERAL</t>
  </si>
  <si>
    <t>*atenção, as fórmulas não são as mesmas (NÃO ARRASTE)</t>
  </si>
  <si>
    <t>ÁREA NÃO IMPRESSA (APENAS AUXILIAR PARA RESUMO)</t>
  </si>
  <si>
    <t xml:space="preserve">Mensalistas - sem desoneração </t>
  </si>
  <si>
    <t>Fonte: Caixa econômica federal, adaptado (vigência a partir de 08/2017)</t>
  </si>
  <si>
    <t>HT</t>
  </si>
  <si>
    <t>Lucro bruto</t>
  </si>
  <si>
    <t>- Os serviços atenderão às disposições do Termo de Referência e Memorial Descritivo</t>
  </si>
  <si>
    <t xml:space="preserve">- Foram observadas as orientações mais recentes do Tribunal de Contas da União para composição dos preços </t>
  </si>
  <si>
    <t>CON</t>
  </si>
  <si>
    <t>Consultor de projetos estruturais (Engenheiro com especialização ou mestrado em estruturas) - ref. 40938 sinapi - mensalista</t>
  </si>
  <si>
    <t>(instrução: APLICAR DESCONTOS NESTES CUSTOS MENSAIS, PARA QUE O DESCONTO SEJA REPLICADO NO RESTANTE DA PLANILHA)</t>
  </si>
  <si>
    <t>QUADRO B.4.b - Detalhamento dos encargos sociais (k1)</t>
  </si>
  <si>
    <t>QUADRO B.4.c - Detalhamento do k2 e k3</t>
  </si>
  <si>
    <t>SINAPI-SET/2018</t>
  </si>
  <si>
    <t xml:space="preserve"> - Tabela de referência: Sinapi Não Desonerado - Municipio: Goiânia - Setembro 2018</t>
  </si>
  <si>
    <t>TOTAL
ESTIMADO</t>
  </si>
  <si>
    <r>
      <t xml:space="preserve">- Os serviços serão contratados </t>
    </r>
    <r>
      <rPr>
        <b/>
        <sz val="11"/>
        <color theme="1"/>
        <rFont val="Calibri"/>
        <family val="2"/>
        <scheme val="minor"/>
      </rPr>
      <t>SOB DEMANDA</t>
    </r>
    <r>
      <rPr>
        <sz val="11"/>
        <color theme="1"/>
        <rFont val="Calibri"/>
        <family val="2"/>
        <scheme val="minor"/>
      </rPr>
      <t>, conforme necessidade da Administração.</t>
    </r>
  </si>
  <si>
    <t>- A remuneração dos serviços prestados utilizará os critérios do TR e da Tabela de Remuneração (ANEXO A)</t>
  </si>
  <si>
    <r>
      <t xml:space="preserve">CONTRATAÇÃO </t>
    </r>
    <r>
      <rPr>
        <b/>
        <sz val="11"/>
        <color theme="1"/>
        <rFont val="Calibri"/>
        <family val="2"/>
        <scheme val="minor"/>
      </rPr>
      <t>SOD DEMANDA</t>
    </r>
    <r>
      <rPr>
        <sz val="11"/>
        <color theme="1"/>
        <rFont val="Calibri"/>
        <family val="2"/>
        <scheme val="minor"/>
      </rPr>
      <t xml:space="preserve"> DE SERVIÇOS ESPECIALIZADOS DE ENGENHARIA E ARQUITETURA</t>
    </r>
  </si>
  <si>
    <t>TOTAL ESTIMADO GERAL</t>
  </si>
  <si>
    <t>Hora técnica, sob demanda, de serviços de topografia, inclusive custos diretos e indiretos</t>
  </si>
  <si>
    <t>Hora técnica, sob demanda, de serviços geotécnicos, inclusive custos diretos e indiretos</t>
  </si>
  <si>
    <t>Hora técnica, sob demanda, de serviços de consultoria ambiental, inclusive custos diretos e indiretos</t>
  </si>
  <si>
    <t>Hora técnica, sob demanda, de serviços de projetos de arquitetura, inclusive custos diretos e indiretos</t>
  </si>
  <si>
    <t>Hora técnica, sob demanda, de serviços de projetos complementares, inclusive custos diretos e indiretos</t>
  </si>
  <si>
    <t>Hora técnica, sob demanda, de elaboração de estudos, relatórios e pareceres técnicos para reformas de edificações</t>
  </si>
  <si>
    <t>Hora técnica, sob demanda, para certificação de projetos estruturais (CPE), inclusive custos diretos e indiretos</t>
  </si>
  <si>
    <t>Hora técnica, sob demanda, para planejamento de obras, inclusive custos diretos e indiretos</t>
  </si>
  <si>
    <t>Tabela utilizada: SINAPI ONERADO - setembro 2018</t>
  </si>
  <si>
    <t>TABELA DE REFERÊNCIA: SINAPI SETEMBRO/2018 SEM DESONERAÇÃO -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</si>
</sst>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 R$ &quot;#,##0.00\ ;&quot;-R$ &quot;#,##0.00\ ;&quot; R$ -&quot;#\ ;@\ "/>
    <numFmt numFmtId="166" formatCode="&quot; R$ &quot;#,##0.00&quot; &quot;;&quot; R$ (&quot;#,##0.00&quot;)&quot;;&quot; R$ -&quot;#&quot; &quot;;@&quot; &quot;"/>
    <numFmt numFmtId="167" formatCode="[$R$-416]&quot; &quot;#,##0.00;[Red]&quot;-&quot;[$R$-416]&quot; &quot;#,##0.00"/>
    <numFmt numFmtId="168" formatCode="#,##0.00&quot; &quot;;&quot;-&quot;#,##0.00&quot; &quot;;&quot; -&quot;#&quot; &quot;;@&quot; &quot;"/>
    <numFmt numFmtId="169" formatCode="#,##0.00&quot; &quot;;&quot; (&quot;#,##0.00&quot;)&quot;;&quot; -&quot;#&quot; &quot;;@&quot; &quot;"/>
    <numFmt numFmtId="170" formatCode="#,##0.00\ ;\-#,##0.00\ ;&quot; -&quot;#\ ;@\ "/>
    <numFmt numFmtId="171" formatCode="_(* #,##0.00_);_(* \(#,##0.00\);_(* \-??_);_(@_)"/>
    <numFmt numFmtId="172" formatCode="#,##0.00\ ;&quot; (&quot;#,##0.00\);&quot; -&quot;#\ ;@\ "/>
    <numFmt numFmtId="173" formatCode="&quot; R$ &quot;#,##0.00\ ;&quot; R$ (&quot;#,##0.00\);&quot; R$ -&quot;#\ ;@\ "/>
    <numFmt numFmtId="174" formatCode="[$-416]General"/>
    <numFmt numFmtId="175" formatCode="&quot; = &quot;0.00"/>
    <numFmt numFmtId="176" formatCode="0.0%"/>
    <numFmt numFmtId="177" formatCode="&quot; = &quot;0.0000"/>
    <numFmt numFmtId="178" formatCode="0.00\ &quot;hrs&quot;"/>
    <numFmt numFmtId="179" formatCode="0.000"/>
    <numFmt numFmtId="180" formatCode="0\ &quot;h&quot;"/>
    <numFmt numFmtId="181" formatCode="&quot;R$&quot;\ #,##0.000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SimSun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rgb="FF0000FF"/>
      <name val="Calibri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333399"/>
      <name val="Cambria"/>
      <family val="1"/>
    </font>
    <font>
      <b/>
      <sz val="15"/>
      <color rgb="FF333399"/>
      <name val="Calibri"/>
      <family val="2"/>
    </font>
    <font>
      <b/>
      <sz val="11"/>
      <color rgb="FF000000"/>
      <name val="Courier New"/>
      <family val="3"/>
    </font>
    <font>
      <sz val="11"/>
      <color indexed="8"/>
      <name val="Calibri"/>
      <family val="2"/>
    </font>
    <font>
      <b/>
      <sz val="11"/>
      <name val="Courier New"/>
      <family val="3"/>
      <charset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2"/>
    </font>
    <font>
      <b/>
      <sz val="11"/>
      <color rgb="FF000000"/>
      <name val="Arial3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CCCCFF"/>
        <bgColor rgb="FFCCCCFF"/>
      </patternFill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B3B3B3"/>
        <bgColor rgb="FFB3B3B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CCCC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2" fillId="0" borderId="0"/>
    <xf numFmtId="165" fontId="3" fillId="0" borderId="0" applyBorder="0" applyAlignment="0" applyProtection="0"/>
    <xf numFmtId="9" fontId="3" fillId="0" borderId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" fontId="6" fillId="0" borderId="1">
      <alignment horizontal="right" vertical="center" wrapText="1"/>
    </xf>
    <xf numFmtId="168" fontId="5" fillId="0" borderId="0"/>
    <xf numFmtId="166" fontId="7" fillId="0" borderId="0"/>
    <xf numFmtId="0" fontId="8" fillId="0" borderId="0"/>
    <xf numFmtId="0" fontId="5" fillId="0" borderId="0"/>
    <xf numFmtId="0" fontId="5" fillId="4" borderId="0"/>
    <xf numFmtId="0" fontId="9" fillId="0" borderId="0">
      <alignment horizontal="center"/>
    </xf>
    <xf numFmtId="0" fontId="9" fillId="0" borderId="0">
      <alignment horizontal="center" textRotation="90"/>
    </xf>
    <xf numFmtId="9" fontId="6" fillId="0" borderId="0"/>
    <xf numFmtId="0" fontId="10" fillId="0" borderId="0"/>
    <xf numFmtId="167" fontId="10" fillId="0" borderId="0"/>
    <xf numFmtId="0" fontId="5" fillId="5" borderId="0"/>
    <xf numFmtId="0" fontId="5" fillId="5" borderId="0"/>
    <xf numFmtId="0" fontId="6" fillId="6" borderId="0"/>
    <xf numFmtId="0" fontId="11" fillId="0" borderId="0"/>
    <xf numFmtId="0" fontId="11" fillId="0" borderId="0"/>
    <xf numFmtId="0" fontId="12" fillId="0" borderId="2"/>
    <xf numFmtId="0" fontId="13" fillId="3" borderId="0">
      <alignment horizontal="left"/>
    </xf>
    <xf numFmtId="169" fontId="6" fillId="0" borderId="0"/>
    <xf numFmtId="169" fontId="6" fillId="0" borderId="0"/>
    <xf numFmtId="44" fontId="4" fillId="0" borderId="0" applyFont="0" applyFill="0" applyBorder="0" applyAlignment="0" applyProtection="0"/>
    <xf numFmtId="0" fontId="5" fillId="0" borderId="0"/>
    <xf numFmtId="170" fontId="5" fillId="0" borderId="0"/>
    <xf numFmtId="0" fontId="4" fillId="0" borderId="0"/>
    <xf numFmtId="44" fontId="4" fillId="0" borderId="0" applyFont="0" applyFill="0" applyBorder="0" applyAlignment="0" applyProtection="0"/>
    <xf numFmtId="165" fontId="5" fillId="0" borderId="0"/>
    <xf numFmtId="0" fontId="14" fillId="0" borderId="0"/>
    <xf numFmtId="173" fontId="2" fillId="0" borderId="0" applyFill="0" applyBorder="0" applyAlignment="0" applyProtection="0"/>
    <xf numFmtId="4" fontId="2" fillId="0" borderId="3" applyProtection="0">
      <alignment horizontal="right" vertical="center" wrapText="1"/>
    </xf>
    <xf numFmtId="9" fontId="2" fillId="0" borderId="0" applyFill="0" applyBorder="0" applyAlignment="0" applyProtection="0"/>
    <xf numFmtId="0" fontId="2" fillId="7" borderId="0" applyNumberFormat="0" applyBorder="0" applyAlignment="0" applyProtection="0"/>
    <xf numFmtId="0" fontId="15" fillId="8" borderId="0" applyNumberFormat="0" applyBorder="0" applyProtection="0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174" fontId="8" fillId="0" borderId="0"/>
    <xf numFmtId="174" fontId="7" fillId="0" borderId="0"/>
    <xf numFmtId="0" fontId="5" fillId="10" borderId="0"/>
    <xf numFmtId="0" fontId="19" fillId="10" borderId="0"/>
    <xf numFmtId="0" fontId="19" fillId="0" borderId="1"/>
    <xf numFmtId="0" fontId="5" fillId="10" borderId="0"/>
    <xf numFmtId="4" fontId="19" fillId="9" borderId="0"/>
    <xf numFmtId="0" fontId="18" fillId="9" borderId="0"/>
    <xf numFmtId="0" fontId="20" fillId="3" borderId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18" applyNumberFormat="0" applyAlignment="0" applyProtection="0"/>
    <xf numFmtId="0" fontId="33" fillId="15" borderId="19" applyNumberFormat="0" applyAlignment="0" applyProtection="0"/>
    <xf numFmtId="0" fontId="34" fillId="15" borderId="18" applyNumberFormat="0" applyAlignment="0" applyProtection="0"/>
    <xf numFmtId="0" fontId="35" fillId="0" borderId="20" applyNumberFormat="0" applyFill="0" applyAlignment="0" applyProtection="0"/>
    <xf numFmtId="0" fontId="36" fillId="16" borderId="21" applyNumberFormat="0" applyAlignment="0" applyProtection="0"/>
    <xf numFmtId="0" fontId="37" fillId="0" borderId="0" applyNumberFormat="0" applyFill="0" applyBorder="0" applyAlignment="0" applyProtection="0"/>
    <xf numFmtId="0" fontId="4" fillId="17" borderId="22" applyNumberFormat="0" applyFont="0" applyAlignment="0" applyProtection="0"/>
    <xf numFmtId="0" fontId="38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3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9" fillId="41" borderId="0" applyNumberFormat="0" applyBorder="0" applyAlignment="0" applyProtection="0"/>
    <xf numFmtId="0" fontId="40" fillId="0" borderId="0"/>
    <xf numFmtId="172" fontId="41" fillId="0" borderId="0" applyBorder="0" applyProtection="0"/>
    <xf numFmtId="0" fontId="42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4" fillId="0" borderId="10" xfId="0" applyFont="1" applyBorder="1"/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/>
    </xf>
    <xf numFmtId="0" fontId="22" fillId="0" borderId="0" xfId="0" applyFont="1" applyFill="1" applyBorder="1"/>
    <xf numFmtId="0" fontId="22" fillId="0" borderId="0" xfId="0" applyFont="1"/>
    <xf numFmtId="14" fontId="22" fillId="0" borderId="0" xfId="0" applyNumberFormat="1" applyFont="1" applyBorder="1" applyAlignment="1">
      <alignment horizontal="left"/>
    </xf>
    <xf numFmtId="0" fontId="43" fillId="0" borderId="0" xfId="44" applyFont="1"/>
    <xf numFmtId="0" fontId="5" fillId="0" borderId="0" xfId="44"/>
    <xf numFmtId="0" fontId="43" fillId="0" borderId="0" xfId="44" applyFont="1" applyAlignment="1">
      <alignment horizontal="center"/>
    </xf>
    <xf numFmtId="0" fontId="0" fillId="0" borderId="0" xfId="0"/>
    <xf numFmtId="0" fontId="46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0" fillId="43" borderId="36" xfId="0" applyFill="1" applyBorder="1"/>
    <xf numFmtId="0" fontId="0" fillId="43" borderId="32" xfId="0" applyFill="1" applyBorder="1"/>
    <xf numFmtId="44" fontId="0" fillId="0" borderId="31" xfId="26" applyFont="1" applyBorder="1"/>
    <xf numFmtId="0" fontId="0" fillId="43" borderId="32" xfId="0" applyFill="1" applyBorder="1" applyAlignment="1">
      <alignment horizontal="right"/>
    </xf>
    <xf numFmtId="0" fontId="47" fillId="0" borderId="0" xfId="0" applyFont="1"/>
    <xf numFmtId="44" fontId="0" fillId="0" borderId="28" xfId="26" applyFont="1" applyBorder="1" applyAlignment="1">
      <alignment horizontal="center" vertical="center"/>
    </xf>
    <xf numFmtId="0" fontId="0" fillId="0" borderId="0" xfId="0" quotePrefix="1"/>
    <xf numFmtId="0" fontId="0" fillId="0" borderId="0" xfId="0" applyBorder="1" applyAlignment="1">
      <alignment horizontal="center"/>
    </xf>
    <xf numFmtId="0" fontId="48" fillId="0" borderId="0" xfId="0" applyFont="1"/>
    <xf numFmtId="0" fontId="0" fillId="0" borderId="28" xfId="0" applyBorder="1"/>
    <xf numFmtId="0" fontId="0" fillId="0" borderId="28" xfId="0" applyBorder="1" applyAlignment="1">
      <alignment wrapText="1"/>
    </xf>
    <xf numFmtId="2" fontId="0" fillId="0" borderId="28" xfId="0" applyNumberFormat="1" applyBorder="1" applyAlignment="1">
      <alignment horizontal="center" vertical="center"/>
    </xf>
    <xf numFmtId="0" fontId="0" fillId="0" borderId="28" xfId="0" applyFill="1" applyBorder="1"/>
    <xf numFmtId="0" fontId="23" fillId="0" borderId="0" xfId="0" applyFont="1"/>
    <xf numFmtId="0" fontId="0" fillId="0" borderId="28" xfId="0" applyFill="1" applyBorder="1" applyAlignment="1">
      <alignment horizontal="center" vertical="center"/>
    </xf>
    <xf numFmtId="0" fontId="22" fillId="0" borderId="0" xfId="0" quotePrefix="1" applyFont="1"/>
    <xf numFmtId="0" fontId="0" fillId="0" borderId="0" xfId="0" applyAlignment="1">
      <alignment horizontal="center"/>
    </xf>
    <xf numFmtId="0" fontId="0" fillId="0" borderId="0" xfId="0" quotePrefix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22" fillId="0" borderId="28" xfId="0" applyNumberFormat="1" applyFont="1" applyBorder="1"/>
    <xf numFmtId="44" fontId="22" fillId="0" borderId="28" xfId="26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164" fontId="22" fillId="0" borderId="28" xfId="0" applyNumberFormat="1" applyFont="1" applyBorder="1" applyAlignment="1">
      <alignment horizontal="center" vertical="center"/>
    </xf>
    <xf numFmtId="0" fontId="22" fillId="43" borderId="28" xfId="0" applyFont="1" applyFill="1" applyBorder="1"/>
    <xf numFmtId="0" fontId="0" fillId="0" borderId="28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22" fillId="43" borderId="2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49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9" fontId="0" fillId="0" borderId="0" xfId="4" applyFont="1" applyBorder="1"/>
    <xf numFmtId="176" fontId="0" fillId="0" borderId="0" xfId="4" applyNumberFormat="1" applyFont="1" applyBorder="1"/>
    <xf numFmtId="10" fontId="0" fillId="0" borderId="28" xfId="4" applyNumberFormat="1" applyFont="1" applyBorder="1"/>
    <xf numFmtId="10" fontId="0" fillId="0" borderId="28" xfId="4" applyNumberFormat="1" applyFont="1" applyFill="1" applyBorder="1"/>
    <xf numFmtId="10" fontId="22" fillId="43" borderId="28" xfId="4" applyNumberFormat="1" applyFont="1" applyFill="1" applyBorder="1"/>
    <xf numFmtId="10" fontId="22" fillId="44" borderId="28" xfId="4" applyNumberFormat="1" applyFont="1" applyFill="1" applyBorder="1"/>
    <xf numFmtId="0" fontId="22" fillId="0" borderId="28" xfId="0" applyFont="1" applyBorder="1" applyAlignment="1">
      <alignment horizontal="center"/>
    </xf>
    <xf numFmtId="164" fontId="0" fillId="0" borderId="28" xfId="26" applyNumberFormat="1" applyFont="1" applyBorder="1" applyAlignment="1">
      <alignment horizontal="center" vertical="center"/>
    </xf>
    <xf numFmtId="164" fontId="22" fillId="0" borderId="28" xfId="26" applyNumberFormat="1" applyFont="1" applyBorder="1" applyAlignment="1">
      <alignment horizontal="center" vertical="center"/>
    </xf>
    <xf numFmtId="164" fontId="0" fillId="0" borderId="0" xfId="0" applyNumberFormat="1"/>
    <xf numFmtId="0" fontId="44" fillId="42" borderId="28" xfId="44" applyFont="1" applyFill="1" applyBorder="1" applyAlignment="1">
      <alignment horizontal="center" vertical="center"/>
    </xf>
    <xf numFmtId="0" fontId="44" fillId="42" borderId="28" xfId="44" applyFont="1" applyFill="1" applyBorder="1" applyAlignment="1">
      <alignment horizontal="center" vertical="center" wrapText="1"/>
    </xf>
    <xf numFmtId="0" fontId="43" fillId="0" borderId="28" xfId="44" applyFont="1" applyBorder="1" applyAlignment="1">
      <alignment horizontal="right"/>
    </xf>
    <xf numFmtId="10" fontId="43" fillId="0" borderId="28" xfId="44" applyNumberFormat="1" applyFont="1" applyBorder="1" applyAlignment="1">
      <alignment horizontal="center"/>
    </xf>
    <xf numFmtId="0" fontId="21" fillId="43" borderId="28" xfId="44" applyFont="1" applyFill="1" applyBorder="1" applyAlignment="1">
      <alignment horizontal="right"/>
    </xf>
    <xf numFmtId="10" fontId="21" fillId="45" borderId="28" xfId="4" applyNumberFormat="1" applyFont="1" applyFill="1" applyBorder="1" applyAlignment="1">
      <alignment horizontal="center"/>
    </xf>
    <xf numFmtId="0" fontId="44" fillId="42" borderId="28" xfId="44" applyFont="1" applyFill="1" applyBorder="1" applyAlignment="1">
      <alignment horizontal="right"/>
    </xf>
    <xf numFmtId="0" fontId="44" fillId="0" borderId="28" xfId="44" applyFont="1" applyBorder="1" applyAlignment="1">
      <alignment horizontal="center"/>
    </xf>
    <xf numFmtId="44" fontId="22" fillId="43" borderId="33" xfId="26" applyFont="1" applyFill="1" applyBorder="1"/>
    <xf numFmtId="0" fontId="22" fillId="43" borderId="28" xfId="0" applyFont="1" applyFill="1" applyBorder="1" applyAlignment="1">
      <alignment wrapText="1"/>
    </xf>
    <xf numFmtId="2" fontId="22" fillId="43" borderId="28" xfId="0" applyNumberFormat="1" applyFont="1" applyFill="1" applyBorder="1" applyAlignment="1">
      <alignment horizontal="center" vertical="center"/>
    </xf>
    <xf numFmtId="44" fontId="22" fillId="43" borderId="28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0" borderId="28" xfId="0" applyFont="1" applyBorder="1" applyAlignment="1">
      <alignment horizontal="center"/>
    </xf>
    <xf numFmtId="164" fontId="22" fillId="43" borderId="28" xfId="0" applyNumberFormat="1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/>
    </xf>
    <xf numFmtId="0" fontId="44" fillId="0" borderId="28" xfId="44" applyFont="1" applyFill="1" applyBorder="1" applyAlignment="1">
      <alignment horizontal="center" vertical="center" wrapText="1"/>
    </xf>
    <xf numFmtId="0" fontId="44" fillId="0" borderId="28" xfId="44" applyFont="1" applyFill="1" applyBorder="1" applyAlignment="1">
      <alignment horizontal="right"/>
    </xf>
    <xf numFmtId="175" fontId="45" fillId="0" borderId="28" xfId="44" applyNumberFormat="1" applyFont="1" applyFill="1" applyBorder="1" applyAlignment="1">
      <alignment horizontal="center"/>
    </xf>
    <xf numFmtId="177" fontId="45" fillId="42" borderId="28" xfId="44" applyNumberFormat="1" applyFont="1" applyFill="1" applyBorder="1" applyAlignment="1">
      <alignment horizontal="center"/>
    </xf>
    <xf numFmtId="0" fontId="43" fillId="0" borderId="0" xfId="44" quotePrefix="1" applyFont="1"/>
    <xf numFmtId="0" fontId="0" fillId="0" borderId="28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/>
    <xf numFmtId="164" fontId="0" fillId="0" borderId="28" xfId="0" applyNumberFormat="1" applyBorder="1"/>
    <xf numFmtId="164" fontId="0" fillId="0" borderId="28" xfId="0" applyNumberFormat="1" applyBorder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0" fontId="0" fillId="0" borderId="24" xfId="0" applyBorder="1" applyAlignment="1"/>
    <xf numFmtId="10" fontId="0" fillId="0" borderId="0" xfId="4" applyNumberFormat="1" applyFont="1"/>
    <xf numFmtId="164" fontId="46" fillId="0" borderId="28" xfId="0" applyNumberFormat="1" applyFont="1" applyBorder="1" applyAlignment="1">
      <alignment horizontal="center" vertical="center"/>
    </xf>
    <xf numFmtId="0" fontId="0" fillId="0" borderId="25" xfId="0" applyBorder="1"/>
    <xf numFmtId="164" fontId="0" fillId="0" borderId="25" xfId="0" applyNumberFormat="1" applyBorder="1"/>
    <xf numFmtId="164" fontId="22" fillId="0" borderId="2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37" xfId="0" applyBorder="1"/>
    <xf numFmtId="164" fontId="46" fillId="0" borderId="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center" vertical="center"/>
    </xf>
    <xf numFmtId="164" fontId="46" fillId="0" borderId="0" xfId="0" applyNumberFormat="1" applyFont="1" applyBorder="1" applyAlignment="1">
      <alignment horizontal="right"/>
    </xf>
    <xf numFmtId="10" fontId="0" fillId="0" borderId="25" xfId="4" applyNumberFormat="1" applyFont="1" applyBorder="1"/>
    <xf numFmtId="164" fontId="46" fillId="0" borderId="37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0" xfId="0" applyNumberFormat="1" applyFont="1" applyBorder="1" applyAlignment="1">
      <alignment horizontal="center" vertical="center"/>
    </xf>
    <xf numFmtId="0" fontId="46" fillId="0" borderId="24" xfId="0" applyFont="1" applyBorder="1"/>
    <xf numFmtId="0" fontId="0" fillId="0" borderId="26" xfId="0" applyBorder="1"/>
    <xf numFmtId="0" fontId="46" fillId="0" borderId="27" xfId="0" applyFont="1" applyBorder="1"/>
    <xf numFmtId="164" fontId="46" fillId="0" borderId="5" xfId="0" applyNumberFormat="1" applyFont="1" applyBorder="1" applyAlignment="1">
      <alignment horizontal="center" vertical="center"/>
    </xf>
    <xf numFmtId="10" fontId="0" fillId="0" borderId="25" xfId="0" applyNumberFormat="1" applyBorder="1"/>
    <xf numFmtId="178" fontId="0" fillId="0" borderId="28" xfId="0" applyNumberFormat="1" applyBorder="1" applyAlignment="1">
      <alignment horizontal="center"/>
    </xf>
    <xf numFmtId="0" fontId="43" fillId="0" borderId="28" xfId="44" applyFont="1" applyBorder="1" applyAlignment="1">
      <alignment horizontal="right" wrapText="1"/>
    </xf>
    <xf numFmtId="0" fontId="0" fillId="0" borderId="0" xfId="0" applyFont="1"/>
    <xf numFmtId="0" fontId="50" fillId="0" borderId="24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  <xf numFmtId="0" fontId="51" fillId="0" borderId="28" xfId="0" applyFont="1" applyFill="1" applyBorder="1" applyAlignment="1">
      <alignment horizontal="left" vertical="center"/>
    </xf>
    <xf numFmtId="10" fontId="51" fillId="0" borderId="28" xfId="0" applyNumberFormat="1" applyFont="1" applyFill="1" applyBorder="1" applyAlignment="1">
      <alignment horizontal="center" vertical="center"/>
    </xf>
    <xf numFmtId="10" fontId="50" fillId="0" borderId="28" xfId="0" applyNumberFormat="1" applyFont="1" applyFill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0" fontId="22" fillId="0" borderId="28" xfId="0" applyFont="1" applyBorder="1" applyAlignment="1">
      <alignment horizontal="right" vertical="center"/>
    </xf>
    <xf numFmtId="10" fontId="0" fillId="0" borderId="28" xfId="0" applyNumberFormat="1" applyBorder="1"/>
    <xf numFmtId="44" fontId="0" fillId="0" borderId="28" xfId="26" applyFont="1" applyBorder="1" applyAlignment="1">
      <alignment horizontal="center"/>
    </xf>
    <xf numFmtId="0" fontId="22" fillId="43" borderId="28" xfId="0" applyFont="1" applyFill="1" applyBorder="1" applyAlignment="1">
      <alignment horizontal="center" vertical="center" wrapText="1"/>
    </xf>
    <xf numFmtId="180" fontId="0" fillId="0" borderId="28" xfId="0" applyNumberFormat="1" applyBorder="1" applyAlignment="1">
      <alignment horizontal="center"/>
    </xf>
    <xf numFmtId="44" fontId="0" fillId="0" borderId="28" xfId="26" applyFont="1" applyBorder="1"/>
    <xf numFmtId="0" fontId="0" fillId="46" borderId="28" xfId="0" applyFill="1" applyBorder="1"/>
    <xf numFmtId="0" fontId="0" fillId="46" borderId="28" xfId="0" applyFill="1" applyBorder="1" applyAlignment="1">
      <alignment horizontal="center" vertical="center"/>
    </xf>
    <xf numFmtId="10" fontId="0" fillId="46" borderId="28" xfId="4" applyNumberFormat="1" applyFont="1" applyFill="1" applyBorder="1" applyAlignment="1">
      <alignment horizontal="center" vertical="center"/>
    </xf>
    <xf numFmtId="164" fontId="0" fillId="46" borderId="28" xfId="26" applyNumberFormat="1" applyFont="1" applyFill="1" applyBorder="1" applyAlignment="1">
      <alignment horizontal="center" vertical="center"/>
    </xf>
    <xf numFmtId="0" fontId="0" fillId="46" borderId="28" xfId="0" applyFill="1" applyBorder="1" applyAlignment="1">
      <alignment wrapText="1"/>
    </xf>
    <xf numFmtId="164" fontId="0" fillId="46" borderId="28" xfId="0" applyNumberFormat="1" applyFill="1" applyBorder="1" applyAlignment="1">
      <alignment horizontal="center" vertical="center"/>
    </xf>
    <xf numFmtId="9" fontId="0" fillId="46" borderId="28" xfId="4" applyFont="1" applyFill="1" applyBorder="1" applyAlignment="1">
      <alignment horizontal="center" vertical="center"/>
    </xf>
    <xf numFmtId="0" fontId="0" fillId="46" borderId="28" xfId="0" applyFont="1" applyFill="1" applyBorder="1" applyAlignment="1">
      <alignment wrapText="1"/>
    </xf>
    <xf numFmtId="181" fontId="22" fillId="0" borderId="0" xfId="0" applyNumberFormat="1" applyFont="1" applyFill="1" applyBorder="1" applyAlignment="1">
      <alignment horizontal="center"/>
    </xf>
    <xf numFmtId="44" fontId="22" fillId="0" borderId="0" xfId="26" applyFont="1"/>
    <xf numFmtId="0" fontId="22" fillId="0" borderId="0" xfId="0" applyFont="1" applyBorder="1" applyAlignment="1">
      <alignment horizontal="right" vertical="center"/>
    </xf>
    <xf numFmtId="164" fontId="22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164" fontId="22" fillId="0" borderId="0" xfId="0" applyNumberFormat="1" applyFont="1" applyBorder="1"/>
    <xf numFmtId="0" fontId="52" fillId="0" borderId="0" xfId="0" applyFont="1"/>
    <xf numFmtId="0" fontId="22" fillId="47" borderId="24" xfId="0" applyFont="1" applyFill="1" applyBorder="1" applyAlignment="1">
      <alignment horizontal="center"/>
    </xf>
    <xf numFmtId="0" fontId="22" fillId="47" borderId="28" xfId="0" applyFont="1" applyFill="1" applyBorder="1" applyAlignment="1">
      <alignment horizontal="center"/>
    </xf>
    <xf numFmtId="2" fontId="22" fillId="47" borderId="24" xfId="0" applyNumberFormat="1" applyFont="1" applyFill="1" applyBorder="1" applyAlignment="1">
      <alignment horizontal="center"/>
    </xf>
    <xf numFmtId="0" fontId="0" fillId="47" borderId="28" xfId="0" applyFill="1" applyBorder="1"/>
    <xf numFmtId="164" fontId="22" fillId="47" borderId="28" xfId="0" applyNumberFormat="1" applyFont="1" applyFill="1" applyBorder="1" applyAlignment="1">
      <alignment horizontal="center"/>
    </xf>
    <xf numFmtId="164" fontId="22" fillId="47" borderId="28" xfId="0" applyNumberFormat="1" applyFont="1" applyFill="1" applyBorder="1"/>
    <xf numFmtId="181" fontId="22" fillId="47" borderId="28" xfId="0" applyNumberFormat="1" applyFont="1" applyFill="1" applyBorder="1" applyAlignment="1">
      <alignment horizontal="center"/>
    </xf>
    <xf numFmtId="0" fontId="0" fillId="0" borderId="24" xfId="0" applyFont="1" applyBorder="1"/>
    <xf numFmtId="0" fontId="51" fillId="0" borderId="7" xfId="0" applyFont="1" applyFill="1" applyBorder="1"/>
    <xf numFmtId="0" fontId="51" fillId="0" borderId="8" xfId="0" applyFont="1" applyFill="1" applyBorder="1"/>
    <xf numFmtId="0" fontId="51" fillId="0" borderId="9" xfId="0" applyFont="1" applyFill="1" applyBorder="1"/>
    <xf numFmtId="0" fontId="51" fillId="0" borderId="10" xfId="0" applyFont="1" applyFill="1" applyBorder="1"/>
    <xf numFmtId="0" fontId="51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1" fillId="0" borderId="11" xfId="0" applyFont="1" applyFill="1" applyBorder="1"/>
    <xf numFmtId="44" fontId="0" fillId="0" borderId="0" xfId="0" applyNumberFormat="1"/>
    <xf numFmtId="0" fontId="37" fillId="0" borderId="0" xfId="0" applyFont="1"/>
    <xf numFmtId="0" fontId="0" fillId="0" borderId="24" xfId="0" applyBorder="1" applyAlignment="1">
      <alignment wrapText="1"/>
    </xf>
    <xf numFmtId="0" fontId="53" fillId="0" borderId="1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22" fillId="2" borderId="28" xfId="0" applyFont="1" applyFill="1" applyBorder="1" applyAlignment="1">
      <alignment horizontal="right"/>
    </xf>
    <xf numFmtId="0" fontId="22" fillId="0" borderId="28" xfId="0" applyFont="1" applyBorder="1" applyAlignment="1">
      <alignment horizontal="right" vertical="center"/>
    </xf>
    <xf numFmtId="44" fontId="22" fillId="0" borderId="28" xfId="0" applyNumberFormat="1" applyFont="1" applyBorder="1" applyAlignment="1">
      <alignment horizontal="right" vertical="center"/>
    </xf>
    <xf numFmtId="164" fontId="46" fillId="0" borderId="24" xfId="0" applyNumberFormat="1" applyFont="1" applyBorder="1" applyAlignment="1">
      <alignment horizontal="right"/>
    </xf>
    <xf numFmtId="164" fontId="46" fillId="0" borderId="25" xfId="0" applyNumberFormat="1" applyFont="1" applyBorder="1" applyAlignment="1">
      <alignment horizontal="right"/>
    </xf>
    <xf numFmtId="164" fontId="46" fillId="0" borderId="26" xfId="0" applyNumberFormat="1" applyFont="1" applyBorder="1" applyAlignment="1">
      <alignment horizontal="right"/>
    </xf>
    <xf numFmtId="0" fontId="22" fillId="2" borderId="28" xfId="0" applyFont="1" applyFill="1" applyBorder="1" applyAlignment="1">
      <alignment horizontal="center"/>
    </xf>
    <xf numFmtId="0" fontId="22" fillId="44" borderId="28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/>
    </xf>
  </cellXfs>
  <cellStyles count="98">
    <cellStyle name="20% - Ênfase1" xfId="72" builtinId="30" customBuiltin="1"/>
    <cellStyle name="20% - Ênfase2" xfId="76" builtinId="34" customBuiltin="1"/>
    <cellStyle name="20% - Ênfase3" xfId="80" builtinId="38" customBuiltin="1"/>
    <cellStyle name="20% - Ênfase4" xfId="84" builtinId="42" customBuiltin="1"/>
    <cellStyle name="20% - Ênfase5" xfId="88" builtinId="46" customBuiltin="1"/>
    <cellStyle name="20% - Ênfase6" xfId="92" builtinId="50" customBuiltin="1"/>
    <cellStyle name="40% - Ênfase1" xfId="73" builtinId="31" customBuiltin="1"/>
    <cellStyle name="40% - Ênfase2" xfId="77" builtinId="35" customBuiltin="1"/>
    <cellStyle name="40% - Ênfase3" xfId="81" builtinId="39" customBuiltin="1"/>
    <cellStyle name="40% - Ênfase4" xfId="85" builtinId="43" customBuiltin="1"/>
    <cellStyle name="40% - Ênfase5" xfId="89" builtinId="47" customBuiltin="1"/>
    <cellStyle name="40% - Ênfase6" xfId="93" builtinId="51" customBuiltin="1"/>
    <cellStyle name="60% - Ênfase1" xfId="74" builtinId="32" customBuiltin="1"/>
    <cellStyle name="60% - Ênfase2" xfId="78" builtinId="36" customBuiltin="1"/>
    <cellStyle name="60% - Ênfase3" xfId="82" builtinId="40" customBuiltin="1"/>
    <cellStyle name="60% - Ênfase4" xfId="86" builtinId="44" customBuiltin="1"/>
    <cellStyle name="60% - Ênfase5" xfId="90" builtinId="48" customBuiltin="1"/>
    <cellStyle name="60% - Ênfase6" xfId="94" builtinId="52" customBuiltin="1"/>
    <cellStyle name="Bom" xfId="59" builtinId="26" customBuiltin="1"/>
    <cellStyle name="Cálculo" xfId="64" builtinId="22" customBuiltin="1"/>
    <cellStyle name="Célula de Verificação" xfId="66" builtinId="23" customBuiltin="1"/>
    <cellStyle name="Célula Vinculada" xfId="65" builtinId="24" customBuiltin="1"/>
    <cellStyle name="COMUM" xfId="6" xr:uid="{00000000-0005-0000-0000-000016000000}"/>
    <cellStyle name="COMUM 2" xfId="34" xr:uid="{00000000-0005-0000-0000-000017000000}"/>
    <cellStyle name="Ênfase1" xfId="71" builtinId="29" customBuiltin="1"/>
    <cellStyle name="Ênfase2" xfId="75" builtinId="33" customBuiltin="1"/>
    <cellStyle name="Ênfase3" xfId="79" builtinId="37" customBuiltin="1"/>
    <cellStyle name="Ênfase4" xfId="83" builtinId="41" customBuiltin="1"/>
    <cellStyle name="Ênfase5" xfId="87" builtinId="45" customBuiltin="1"/>
    <cellStyle name="Ênfase6" xfId="91" builtinId="49" customBuiltin="1"/>
    <cellStyle name="Entrada" xfId="62" builtinId="20" customBuiltin="1"/>
    <cellStyle name="Excel Built-in Comma" xfId="7" xr:uid="{00000000-0005-0000-0000-00001F000000}"/>
    <cellStyle name="Excel Built-in Currency" xfId="8" xr:uid="{00000000-0005-0000-0000-000020000000}"/>
    <cellStyle name="Excel Built-in Hyperlink" xfId="9" xr:uid="{00000000-0005-0000-0000-000021000000}"/>
    <cellStyle name="Excel Built-in Hyperlink 2" xfId="45" xr:uid="{00000000-0005-0000-0000-000022000000}"/>
    <cellStyle name="Excel Built-in Normal" xfId="10" xr:uid="{00000000-0005-0000-0000-000023000000}"/>
    <cellStyle name="Excel Built-in Normal 2" xfId="46" xr:uid="{00000000-0005-0000-0000-000024000000}"/>
    <cellStyle name="Excel_BuiltIn_20% - Ênfase1" xfId="11" xr:uid="{00000000-0005-0000-0000-000025000000}"/>
    <cellStyle name="Heading" xfId="12" xr:uid="{00000000-0005-0000-0000-000026000000}"/>
    <cellStyle name="Heading1" xfId="13" xr:uid="{00000000-0005-0000-0000-000027000000}"/>
    <cellStyle name="Hiperlink 2" xfId="97" xr:uid="{00000000-0005-0000-0000-000028000000}"/>
    <cellStyle name="Moeda" xfId="26" builtinId="4"/>
    <cellStyle name="Moeda 2" xfId="2" xr:uid="{00000000-0005-0000-0000-00002B000000}"/>
    <cellStyle name="Moeda 2 2" xfId="30" xr:uid="{00000000-0005-0000-0000-00002C000000}"/>
    <cellStyle name="Moeda 3" xfId="31" xr:uid="{00000000-0005-0000-0000-00002D000000}"/>
    <cellStyle name="Moeda 4" xfId="33" xr:uid="{00000000-0005-0000-0000-00002E000000}"/>
    <cellStyle name="Neutro" xfId="61" builtinId="28" customBuiltin="1"/>
    <cellStyle name="Normal" xfId="0" builtinId="0"/>
    <cellStyle name="Normal 2" xfId="1" xr:uid="{00000000-0005-0000-0000-000031000000}"/>
    <cellStyle name="Normal 2 2" xfId="29" xr:uid="{00000000-0005-0000-0000-000032000000}"/>
    <cellStyle name="Normal 2 3" xfId="44" xr:uid="{00000000-0005-0000-0000-000033000000}"/>
    <cellStyle name="Normal 3" xfId="5" xr:uid="{00000000-0005-0000-0000-000034000000}"/>
    <cellStyle name="Normal 4" xfId="32" xr:uid="{00000000-0005-0000-0000-000035000000}"/>
    <cellStyle name="Normal 5" xfId="95" xr:uid="{00000000-0005-0000-0000-000036000000}"/>
    <cellStyle name="Nota" xfId="68" builtinId="10" customBuiltin="1"/>
    <cellStyle name="Porcentagem" xfId="4" builtinId="5"/>
    <cellStyle name="Porcentagem 2" xfId="3" xr:uid="{00000000-0005-0000-0000-000039000000}"/>
    <cellStyle name="Porcentagem 3 2" xfId="14" xr:uid="{00000000-0005-0000-0000-00003A000000}"/>
    <cellStyle name="Porcentagem 3 2 2" xfId="35" xr:uid="{00000000-0005-0000-0000-00003B000000}"/>
    <cellStyle name="Result" xfId="15" xr:uid="{00000000-0005-0000-0000-00003C000000}"/>
    <cellStyle name="Result2" xfId="16" xr:uid="{00000000-0005-0000-0000-00003D000000}"/>
    <cellStyle name="Ruim" xfId="60" builtinId="27" customBuiltin="1"/>
    <cellStyle name="Saída" xfId="63" builtinId="21" customBuiltin="1"/>
    <cellStyle name="Sem título1" xfId="17" xr:uid="{00000000-0005-0000-0000-00003F000000}"/>
    <cellStyle name="Sem título1 2" xfId="47" xr:uid="{00000000-0005-0000-0000-000040000000}"/>
    <cellStyle name="Sem título2" xfId="18" xr:uid="{00000000-0005-0000-0000-000041000000}"/>
    <cellStyle name="Sem título2 2" xfId="48" xr:uid="{00000000-0005-0000-0000-000042000000}"/>
    <cellStyle name="Sem título3" xfId="49" xr:uid="{00000000-0005-0000-0000-000043000000}"/>
    <cellStyle name="Sem título4" xfId="50" xr:uid="{00000000-0005-0000-0000-000044000000}"/>
    <cellStyle name="Sem título5" xfId="51" xr:uid="{00000000-0005-0000-0000-000045000000}"/>
    <cellStyle name="Sem título6" xfId="52" xr:uid="{00000000-0005-0000-0000-000046000000}"/>
    <cellStyle name="Sem título7" xfId="53" xr:uid="{00000000-0005-0000-0000-000047000000}"/>
    <cellStyle name="Texto de Aviso" xfId="67" builtinId="11" customBuiltin="1"/>
    <cellStyle name="Texto Explicativo" xfId="69" builtinId="53" customBuiltin="1"/>
    <cellStyle name="Texto Explicativo 2" xfId="27" xr:uid="{00000000-0005-0000-0000-00004A000000}"/>
    <cellStyle name="Texto Explicativo 3" xfId="96" xr:uid="{00000000-0005-0000-0000-00004B000000}"/>
    <cellStyle name="Titulo" xfId="19" xr:uid="{00000000-0005-0000-0000-00004C000000}"/>
    <cellStyle name="Título" xfId="54" builtinId="15" customBuiltin="1"/>
    <cellStyle name="Título 1" xfId="55" builtinId="16" customBuiltin="1"/>
    <cellStyle name="Título 1 1" xfId="20" xr:uid="{00000000-0005-0000-0000-00004F000000}"/>
    <cellStyle name="Título 1 1 1" xfId="21" xr:uid="{00000000-0005-0000-0000-000050000000}"/>
    <cellStyle name="Título 1 1 1 1" xfId="22" xr:uid="{00000000-0005-0000-0000-000051000000}"/>
    <cellStyle name="Título 1 1 1 1 2" xfId="40" xr:uid="{00000000-0005-0000-0000-000052000000}"/>
    <cellStyle name="Título 1 1 1 2" xfId="39" xr:uid="{00000000-0005-0000-0000-000053000000}"/>
    <cellStyle name="Título 1 1 2" xfId="38" xr:uid="{00000000-0005-0000-0000-000054000000}"/>
    <cellStyle name="Titulo 2" xfId="36" xr:uid="{00000000-0005-0000-0000-000055000000}"/>
    <cellStyle name="Título 2" xfId="56" builtinId="17" customBuiltin="1"/>
    <cellStyle name="Título 3" xfId="57" builtinId="18" customBuiltin="1"/>
    <cellStyle name="Título 4" xfId="58" builtinId="19" customBuiltin="1"/>
    <cellStyle name="Titulo-Volare" xfId="23" xr:uid="{00000000-0005-0000-0000-000059000000}"/>
    <cellStyle name="Titulo-Volare 2" xfId="37" xr:uid="{00000000-0005-0000-0000-00005A000000}"/>
    <cellStyle name="Total" xfId="70" builtinId="25" customBuiltin="1"/>
    <cellStyle name="Vírgula 2" xfId="28" xr:uid="{00000000-0005-0000-0000-00005C000000}"/>
    <cellStyle name="Vírgula 2 2" xfId="43" xr:uid="{00000000-0005-0000-0000-00005D000000}"/>
    <cellStyle name="Vírgula 3" xfId="24" xr:uid="{00000000-0005-0000-0000-00005E000000}"/>
    <cellStyle name="Vírgula 3 2" xfId="41" xr:uid="{00000000-0005-0000-0000-00005F000000}"/>
    <cellStyle name="Vírgula 5" xfId="25" xr:uid="{00000000-0005-0000-0000-000060000000}"/>
    <cellStyle name="Vírgula 5 2" xfId="42" xr:uid="{00000000-0005-0000-0000-000061000000}"/>
  </cellStyles>
  <dxfs count="1"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57150</xdr:rowOff>
    </xdr:from>
    <xdr:to>
      <xdr:col>5</xdr:col>
      <xdr:colOff>542925</xdr:colOff>
      <xdr:row>1</xdr:row>
      <xdr:rowOff>631072</xdr:rowOff>
    </xdr:to>
    <xdr:pic>
      <xdr:nvPicPr>
        <xdr:cNvPr id="2" name="Imagem 1" descr="http://www.unipampa.edu.br/portal/images/Assinatura_Unipampa_JPG_SVG/brasao/braso_republica_baixa_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57175"/>
          <a:ext cx="571500" cy="573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314325</xdr:colOff>
      <xdr:row>6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0"/>
          <a:ext cx="72199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PODER JUDICIÁRIO DA UNIÃO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TRIBUNAL REGIONAL DO TRABALHO DA 18ª REGIÃO</a:t>
          </a:r>
          <a:endParaRPr lang="pt-BR" sz="1800">
            <a:effectLst/>
          </a:endParaRPr>
        </a:p>
        <a:p>
          <a:pPr algn="ctr"/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ANEXO B - PLANILHA DE FORMAÇÃO DE PREÇOS</a:t>
          </a:r>
          <a:endParaRPr lang="pt-BR" sz="1800">
            <a:effectLst/>
          </a:endParaRPr>
        </a:p>
        <a:p>
          <a:pPr algn="ctr"/>
          <a:r>
            <a:rPr lang="pt-BR" sz="1200" b="1"/>
            <a:t>Quadro B.1 - Planilha de</a:t>
          </a:r>
          <a:r>
            <a:rPr lang="pt-BR" sz="1200" b="1" baseline="0"/>
            <a:t> Orçamento</a:t>
          </a:r>
        </a:p>
        <a:p>
          <a:pPr algn="ctr"/>
          <a:r>
            <a:rPr lang="pt-BR" sz="1200" b="0" baseline="0"/>
            <a:t>(zerar quantitade e ocultar linhas referentes a grupos que não deseje ofertar preços)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95249</xdr:rowOff>
    </xdr:from>
    <xdr:to>
      <xdr:col>8</xdr:col>
      <xdr:colOff>9525</xdr:colOff>
      <xdr:row>5</xdr:row>
      <xdr:rowOff>28574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2900" y="95249"/>
          <a:ext cx="962977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/>
            <a:t>Quadro B.2 - Composições</a:t>
          </a:r>
          <a:r>
            <a:rPr lang="pt-BR" sz="1200" b="1" baseline="0"/>
            <a:t> </a:t>
          </a:r>
          <a:r>
            <a:rPr lang="pt-BR" sz="1200" b="1"/>
            <a:t>do custo</a:t>
          </a:r>
          <a:r>
            <a:rPr lang="pt-BR" sz="1200" b="1" baseline="0"/>
            <a:t> da hora técnica básica (de referência)</a:t>
          </a:r>
        </a:p>
        <a:p>
          <a:pPr algn="ctr"/>
          <a:endParaRPr lang="pt-BR" sz="1200" b="1" baseline="0"/>
        </a:p>
        <a:p>
          <a:pPr algn="ctr"/>
          <a:r>
            <a:rPr lang="pt-BR" sz="1200" b="0" baseline="0">
              <a:solidFill>
                <a:srgbClr val="FF0000"/>
              </a:solidFill>
            </a:rPr>
            <a:t>(Instrução: ocultar composições zeradas /sem preço, não alterar fórmulas)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95251</xdr:rowOff>
    </xdr:from>
    <xdr:ext cx="9872383" cy="10287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8150" y="95251"/>
          <a:ext cx="9872383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 B.3 -  Quadro Resumo Serviços de Consultoria</a:t>
          </a:r>
        </a:p>
        <a:p>
          <a:pPr algn="ctr"/>
          <a:endParaRPr lang="pt-BR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(INSTRUÇÃO: não é necessário editar as células/fórmulas)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212913</xdr:colOff>
      <xdr:row>0</xdr:row>
      <xdr:rowOff>112059</xdr:rowOff>
    </xdr:from>
    <xdr:ext cx="4773705" cy="42742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2913" y="112059"/>
          <a:ext cx="4773705" cy="427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 b="1" baseline="0">
              <a:latin typeface="Arial" panose="020B0604020202020204" pitchFamily="34" charset="0"/>
              <a:cs typeface="Arial" panose="020B0604020202020204" pitchFamily="34" charset="0"/>
            </a:rPr>
            <a:t>QUADRO B.4.a - Detalhamento fator "K"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78440</xdr:rowOff>
    </xdr:from>
    <xdr:ext cx="7978588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7736" y="78440"/>
          <a:ext cx="797858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QUADROS B.4.d - Detalhamento dos encargos complementares</a:t>
          </a:r>
          <a:endParaRPr lang="pt-B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/PROJETOS/CONTRATA&#199;&#195;O%20PROJETOS%202018/ANEXO%20A%20-%20TABELA%20DE%20REMUNERA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MUNERAÇÃO"/>
    </sheetNames>
    <sheetDataSet>
      <sheetData sheetId="0">
        <row r="5">
          <cell r="D5">
            <v>157.08326671232876</v>
          </cell>
        </row>
        <row r="6">
          <cell r="D6">
            <v>215.10354452054798</v>
          </cell>
        </row>
        <row r="7">
          <cell r="D7">
            <v>108.2699482191781</v>
          </cell>
        </row>
        <row r="8">
          <cell r="D8">
            <v>189.3466896164384</v>
          </cell>
        </row>
        <row r="9">
          <cell r="D9">
            <v>251.99524786191785</v>
          </cell>
        </row>
        <row r="10">
          <cell r="D10">
            <v>138.07805917808219</v>
          </cell>
        </row>
        <row r="11">
          <cell r="D11">
            <v>108.2699482191781</v>
          </cell>
        </row>
        <row r="12">
          <cell r="D12">
            <v>161.89067219178079</v>
          </cell>
        </row>
        <row r="16">
          <cell r="F16">
            <v>4000</v>
          </cell>
        </row>
        <row r="17">
          <cell r="F17">
            <v>700</v>
          </cell>
        </row>
        <row r="20">
          <cell r="E20">
            <v>1</v>
          </cell>
          <cell r="F20">
            <v>700</v>
          </cell>
        </row>
        <row r="21">
          <cell r="E21">
            <v>0.5</v>
          </cell>
          <cell r="F21">
            <v>0</v>
          </cell>
        </row>
        <row r="23">
          <cell r="E23">
            <v>0.25</v>
          </cell>
          <cell r="F23">
            <v>200</v>
          </cell>
        </row>
        <row r="24">
          <cell r="E24">
            <v>0.15</v>
          </cell>
        </row>
        <row r="25">
          <cell r="E25">
            <v>0.1</v>
          </cell>
        </row>
        <row r="28">
          <cell r="F28">
            <v>900</v>
          </cell>
        </row>
        <row r="29">
          <cell r="F29">
            <v>905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0B050"/>
    <pageSetUpPr fitToPage="1"/>
  </sheetPr>
  <dimension ref="B1:N21"/>
  <sheetViews>
    <sheetView showGridLines="0" tabSelected="1" view="pageBreakPreview" zoomScaleNormal="100" zoomScaleSheetLayoutView="100" workbookViewId="0"/>
  </sheetViews>
  <sheetFormatPr defaultRowHeight="15"/>
  <cols>
    <col min="1" max="1" width="3.7109375" customWidth="1"/>
    <col min="2" max="2" width="9.140625" customWidth="1"/>
    <col min="3" max="3" width="21.28515625" customWidth="1"/>
    <col min="4" max="4" width="12.140625" customWidth="1"/>
    <col min="5" max="5" width="10.7109375" bestFit="1" customWidth="1"/>
    <col min="13" max="13" width="3.7109375" customWidth="1"/>
  </cols>
  <sheetData>
    <row r="1" spans="2:14" ht="15.75" thickBot="1"/>
    <row r="2" spans="2:14" ht="52.5" customHeight="1"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2:14" ht="15.75">
      <c r="B3" s="164" t="s">
        <v>5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4" ht="15.75">
      <c r="B4" s="164" t="s">
        <v>9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4" ht="15.75">
      <c r="B5" s="164" t="s">
        <v>10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4" s="16" customFormat="1" ht="15.75">
      <c r="B6" s="164" t="s">
        <v>16</v>
      </c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2:14">
      <c r="B7" s="157"/>
      <c r="C7" s="158"/>
      <c r="D7" s="158"/>
      <c r="E7" s="158"/>
      <c r="F7" s="159" t="s">
        <v>38</v>
      </c>
      <c r="G7" s="158"/>
      <c r="H7" s="158"/>
      <c r="I7" s="158"/>
      <c r="J7" s="158"/>
      <c r="K7" s="158"/>
      <c r="L7" s="160"/>
    </row>
    <row r="8" spans="2:14" s="16" customFormat="1">
      <c r="B8" s="1"/>
      <c r="C8" s="2"/>
      <c r="D8" s="2"/>
      <c r="E8" s="2"/>
      <c r="F8" s="30"/>
      <c r="G8" s="2"/>
      <c r="H8" s="2"/>
      <c r="I8" s="2"/>
      <c r="J8" s="2"/>
      <c r="K8" s="2"/>
      <c r="L8" s="3"/>
    </row>
    <row r="9" spans="2:14">
      <c r="B9" s="7" t="s">
        <v>7</v>
      </c>
      <c r="C9" s="2"/>
      <c r="D9" s="2"/>
      <c r="E9" s="2"/>
      <c r="F9" s="2"/>
      <c r="G9" s="2"/>
      <c r="H9" s="2"/>
      <c r="I9" s="2"/>
      <c r="J9" s="2"/>
      <c r="K9" s="2"/>
      <c r="L9" s="3"/>
    </row>
    <row r="10" spans="2:14">
      <c r="B10" s="7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2:14">
      <c r="B11" s="1"/>
      <c r="C11" s="2" t="s">
        <v>39</v>
      </c>
      <c r="D11" s="167" t="s">
        <v>241</v>
      </c>
      <c r="E11" s="167"/>
      <c r="F11" s="167"/>
      <c r="G11" s="167"/>
      <c r="H11" s="167"/>
      <c r="I11" s="167"/>
      <c r="J11" s="167"/>
      <c r="K11" s="167"/>
      <c r="L11" s="3"/>
    </row>
    <row r="12" spans="2:14">
      <c r="B12" s="1"/>
      <c r="C12" s="2"/>
      <c r="D12" s="167"/>
      <c r="E12" s="167"/>
      <c r="F12" s="167"/>
      <c r="G12" s="167"/>
      <c r="H12" s="167"/>
      <c r="I12" s="167"/>
      <c r="J12" s="167"/>
      <c r="K12" s="167"/>
      <c r="L12" s="3"/>
    </row>
    <row r="13" spans="2:14">
      <c r="B13" s="1"/>
      <c r="C13" s="2" t="s">
        <v>40</v>
      </c>
      <c r="D13" s="2"/>
      <c r="E13" s="8" t="s">
        <v>23</v>
      </c>
      <c r="F13" s="2"/>
      <c r="G13" s="2"/>
      <c r="H13" s="2"/>
      <c r="I13" s="2"/>
      <c r="J13" s="2"/>
      <c r="K13" s="2"/>
      <c r="L13" s="3"/>
    </row>
    <row r="14" spans="2:14">
      <c r="B14" s="1"/>
      <c r="C14" s="10" t="s">
        <v>6</v>
      </c>
      <c r="D14" s="11"/>
      <c r="E14" s="12">
        <v>43411</v>
      </c>
      <c r="F14" s="2"/>
      <c r="G14" s="2"/>
      <c r="H14" s="2"/>
      <c r="I14" s="2"/>
      <c r="J14" s="2"/>
      <c r="K14" s="2"/>
      <c r="L14" s="3"/>
      <c r="N14" s="2" t="s">
        <v>8</v>
      </c>
    </row>
    <row r="15" spans="2:14">
      <c r="B15" s="1"/>
      <c r="C15" s="10"/>
      <c r="D15" s="11"/>
      <c r="E15" s="12"/>
      <c r="F15" s="2"/>
      <c r="G15" s="2"/>
      <c r="H15" s="2"/>
      <c r="I15" s="2"/>
      <c r="J15" s="2"/>
      <c r="K15" s="2"/>
      <c r="L15" s="3"/>
    </row>
    <row r="16" spans="2:14">
      <c r="B16" s="7" t="s">
        <v>7</v>
      </c>
      <c r="C16" s="2"/>
      <c r="D16" s="2"/>
      <c r="E16" s="8"/>
      <c r="F16" s="2"/>
      <c r="G16" s="2"/>
      <c r="H16" s="2"/>
      <c r="I16" s="2"/>
      <c r="J16" s="2"/>
      <c r="K16" s="2"/>
      <c r="L16" s="3"/>
    </row>
    <row r="17" spans="2:12">
      <c r="B17" s="1"/>
      <c r="C17" s="2" t="s">
        <v>13</v>
      </c>
      <c r="D17" s="2"/>
      <c r="E17" s="9" t="s">
        <v>236</v>
      </c>
      <c r="F17" s="2"/>
      <c r="G17" t="s">
        <v>24</v>
      </c>
      <c r="H17" s="2"/>
      <c r="I17" s="2"/>
      <c r="J17" s="2"/>
      <c r="K17" s="2"/>
      <c r="L17" s="3"/>
    </row>
    <row r="18" spans="2:12">
      <c r="B18" s="1"/>
      <c r="C18" s="2"/>
      <c r="D18" s="2"/>
      <c r="E18" s="2" t="s">
        <v>25</v>
      </c>
      <c r="F18" s="2"/>
      <c r="G18" s="2"/>
      <c r="H18" s="2"/>
      <c r="I18" s="2"/>
      <c r="J18" s="2"/>
      <c r="K18" s="2"/>
      <c r="L18" s="3"/>
    </row>
    <row r="19" spans="2:12">
      <c r="B19" s="1"/>
      <c r="C19" t="s">
        <v>14</v>
      </c>
      <c r="E19" t="s">
        <v>15</v>
      </c>
      <c r="F19" s="2"/>
      <c r="G19" s="2"/>
      <c r="H19" s="2"/>
      <c r="I19" s="2"/>
      <c r="J19" s="2"/>
      <c r="K19" s="2"/>
      <c r="L19" s="3"/>
    </row>
    <row r="20" spans="2:12">
      <c r="B20" s="1"/>
      <c r="F20" s="2"/>
      <c r="G20" s="2"/>
      <c r="H20" s="2"/>
      <c r="I20" s="2"/>
      <c r="J20" s="2"/>
      <c r="K20" s="2"/>
      <c r="L20" s="3"/>
    </row>
    <row r="21" spans="2:12" ht="15.75" thickBot="1">
      <c r="B21" s="4"/>
      <c r="C21" s="5"/>
      <c r="D21" s="5"/>
      <c r="E21" s="5"/>
      <c r="F21" s="5"/>
      <c r="G21" s="5"/>
      <c r="H21" s="5"/>
      <c r="I21" s="5"/>
      <c r="J21" s="5"/>
      <c r="K21" s="5"/>
      <c r="L21" s="6"/>
    </row>
  </sheetData>
  <mergeCells count="5">
    <mergeCell ref="B3:L3"/>
    <mergeCell ref="B4:L4"/>
    <mergeCell ref="B5:L5"/>
    <mergeCell ref="D11:K12"/>
    <mergeCell ref="B6:L6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6:K25"/>
  <sheetViews>
    <sheetView view="pageBreakPreview" zoomScaleNormal="100" zoomScaleSheetLayoutView="100" workbookViewId="0"/>
  </sheetViews>
  <sheetFormatPr defaultRowHeight="15"/>
  <cols>
    <col min="1" max="1" width="4.5703125" style="16" customWidth="1"/>
    <col min="2" max="2" width="7.5703125" style="16" customWidth="1"/>
    <col min="3" max="3" width="36.85546875" style="16" customWidth="1"/>
    <col min="4" max="4" width="10" style="39" bestFit="1" customWidth="1"/>
    <col min="5" max="5" width="15.5703125" style="16" customWidth="1"/>
    <col min="6" max="6" width="14" style="16" customWidth="1"/>
    <col min="7" max="7" width="15.42578125" style="16" customWidth="1"/>
    <col min="8" max="8" width="11.28515625" style="16" customWidth="1"/>
    <col min="9" max="10" width="14.28515625" style="16" bestFit="1" customWidth="1"/>
    <col min="11" max="11" width="9.5703125" style="16" bestFit="1" customWidth="1"/>
    <col min="12" max="16384" width="9.140625" style="16"/>
  </cols>
  <sheetData>
    <row r="6" spans="2:11" customFormat="1">
      <c r="D6" s="39"/>
    </row>
    <row r="7" spans="2:11" ht="31.5">
      <c r="B7" s="48" t="s">
        <v>0</v>
      </c>
      <c r="C7" s="48" t="s">
        <v>3</v>
      </c>
      <c r="D7" s="48" t="s">
        <v>49</v>
      </c>
      <c r="E7" s="49" t="s">
        <v>199</v>
      </c>
      <c r="F7" s="49" t="s">
        <v>42</v>
      </c>
      <c r="G7" s="49" t="s">
        <v>238</v>
      </c>
    </row>
    <row r="8" spans="2:11" ht="45">
      <c r="B8" s="90">
        <v>1</v>
      </c>
      <c r="C8" s="89" t="str">
        <f>VLOOKUP(B8,'B2-Composições'!B:G,3,FALSE)</f>
        <v>Hora técnica, sob demanda, de serviços de topografia, inclusive custos diretos e indiretos</v>
      </c>
      <c r="D8" s="44" t="str">
        <f>VLOOKUP(B8,'B2-Composições'!B:G,4,FALSE)</f>
        <v>HT</v>
      </c>
      <c r="E8" s="34">
        <v>100</v>
      </c>
      <c r="F8" s="45">
        <f>ROUND(VLOOKUP(B8,'B2-Composições'!B:G,6,FALSE),2)</f>
        <v>137.56</v>
      </c>
      <c r="G8" s="47">
        <f t="shared" ref="G8:G15" si="0">+E8*F8</f>
        <v>13756</v>
      </c>
    </row>
    <row r="9" spans="2:11" ht="45">
      <c r="B9" s="90">
        <v>2</v>
      </c>
      <c r="C9" s="89" t="str">
        <f>VLOOKUP(B9,'B2-Composições'!B:G,3,FALSE)</f>
        <v>Hora técnica, sob demanda, de serviços geotécnicos, inclusive custos diretos e indiretos</v>
      </c>
      <c r="D9" s="44" t="str">
        <f>VLOOKUP(B9,'B2-Composições'!B:G,4,FALSE)</f>
        <v>HT</v>
      </c>
      <c r="E9" s="34">
        <v>100</v>
      </c>
      <c r="F9" s="45">
        <f>ROUND(VLOOKUP(B9,'B2-Composições'!B:G,6,FALSE),2)</f>
        <v>156.63999999999999</v>
      </c>
      <c r="G9" s="47">
        <f t="shared" si="0"/>
        <v>15663.999999999998</v>
      </c>
    </row>
    <row r="10" spans="2:11" ht="45">
      <c r="B10" s="90">
        <v>3</v>
      </c>
      <c r="C10" s="89" t="str">
        <f>VLOOKUP(B10,'B2-Composições'!B:G,3,FALSE)</f>
        <v>Hora técnica, sob demanda, de serviços de consultoria ambiental, inclusive custos diretos e indiretos</v>
      </c>
      <c r="D10" s="44" t="str">
        <f>VLOOKUP(B10,'B2-Composições'!B:G,4,FALSE)</f>
        <v>HT</v>
      </c>
      <c r="E10" s="34">
        <v>100</v>
      </c>
      <c r="F10" s="45">
        <f>ROUND(VLOOKUP(B10,'B2-Composições'!B:G,6,FALSE),2)</f>
        <v>199.11</v>
      </c>
      <c r="G10" s="47">
        <f t="shared" si="0"/>
        <v>19911</v>
      </c>
    </row>
    <row r="11" spans="2:11" ht="45">
      <c r="B11" s="90">
        <v>4</v>
      </c>
      <c r="C11" s="89" t="str">
        <f>VLOOKUP(B11,'B2-Composições'!B:G,3,FALSE)</f>
        <v>Hora técnica, sob demanda, de serviços de projetos de arquitetura, inclusive custos diretos e indiretos</v>
      </c>
      <c r="D11" s="43" t="str">
        <f>VLOOKUP(B11,'B2-Composições'!B:G,4,FALSE)</f>
        <v>HT</v>
      </c>
      <c r="E11" s="34">
        <v>500</v>
      </c>
      <c r="F11" s="45">
        <f>ROUND(VLOOKUP(B11,'B2-Composições'!B:G,6,FALSE),2)</f>
        <v>223.45</v>
      </c>
      <c r="G11" s="47">
        <f t="shared" si="0"/>
        <v>111725</v>
      </c>
      <c r="I11" s="161">
        <f>G8+G9+G11+G12+G15</f>
        <v>298639</v>
      </c>
      <c r="J11" s="16">
        <f>4900+900+900</f>
        <v>6700</v>
      </c>
      <c r="K11" s="161">
        <f>I11/J11</f>
        <v>44.572985074626864</v>
      </c>
    </row>
    <row r="12" spans="2:11" ht="45">
      <c r="B12" s="90">
        <v>5</v>
      </c>
      <c r="C12" s="89" t="str">
        <f>VLOOKUP(B12,'B2-Composições'!B:G,3,FALSE)</f>
        <v>Hora técnica, sob demanda, de serviços de projetos complementares, inclusive custos diretos e indiretos</v>
      </c>
      <c r="D12" s="44" t="str">
        <f>VLOOKUP(B12,'B2-Composições'!B:G,4,FALSE)</f>
        <v>HT</v>
      </c>
      <c r="E12" s="34">
        <v>500</v>
      </c>
      <c r="F12" s="45">
        <f>ROUND(VLOOKUP(B12,'B2-Composições'!B:G,6,FALSE),2)</f>
        <v>202.53</v>
      </c>
      <c r="G12" s="47">
        <f t="shared" si="0"/>
        <v>101265</v>
      </c>
    </row>
    <row r="13" spans="2:11" ht="60">
      <c r="B13" s="90">
        <v>6</v>
      </c>
      <c r="C13" s="89" t="str">
        <f>VLOOKUP(B13,'B2-Composições'!B:G,3,FALSE)</f>
        <v>Hora técnica, sob demanda, de elaboração de estudos, relatórios e pareceres técnicos para reformas de edificações</v>
      </c>
      <c r="D13" s="44" t="str">
        <f>VLOOKUP(B13,'B2-Composições'!B:G,4,FALSE)</f>
        <v>HT</v>
      </c>
      <c r="E13" s="34">
        <v>100</v>
      </c>
      <c r="F13" s="45">
        <f>ROUND(VLOOKUP(B13,'B2-Composições'!B:G,6,FALSE),2)</f>
        <v>123.53</v>
      </c>
      <c r="G13" s="47">
        <f t="shared" si="0"/>
        <v>12353</v>
      </c>
    </row>
    <row r="14" spans="2:11" ht="60">
      <c r="B14" s="90">
        <v>7</v>
      </c>
      <c r="C14" s="89" t="str">
        <f>VLOOKUP(B14,'B2-Composições'!B:G,3,FALSE)</f>
        <v>Hora técnica, sob demanda, para certificação de projetos estruturais (CPE), inclusive custos diretos e indiretos</v>
      </c>
      <c r="D14" s="44" t="str">
        <f>VLOOKUP(B14,'B2-Composições'!B:G,4,FALSE)</f>
        <v>HT</v>
      </c>
      <c r="E14" s="34">
        <v>100</v>
      </c>
      <c r="F14" s="45">
        <f>ROUND(VLOOKUP(B14,'B2-Composições'!B:G,6,FALSE),2)</f>
        <v>184.09</v>
      </c>
      <c r="G14" s="47">
        <f t="shared" si="0"/>
        <v>18409</v>
      </c>
    </row>
    <row r="15" spans="2:11" ht="45">
      <c r="B15" s="90">
        <v>8</v>
      </c>
      <c r="C15" s="89" t="str">
        <f>VLOOKUP(B15,'B2-Composições'!B:G,3,FALSE)</f>
        <v>Hora técnica, sob demanda, para planejamento de obras, inclusive custos diretos e indiretos</v>
      </c>
      <c r="D15" s="44" t="str">
        <f>VLOOKUP(B15,'B2-Composições'!B:G,4,FALSE)</f>
        <v>HT</v>
      </c>
      <c r="E15" s="34">
        <v>300</v>
      </c>
      <c r="F15" s="45">
        <f>ROUND(VLOOKUP(B15,'B2-Composições'!B:G,6,FALSE),2)</f>
        <v>187.43</v>
      </c>
      <c r="G15" s="47">
        <f t="shared" si="0"/>
        <v>56229</v>
      </c>
    </row>
    <row r="16" spans="2:11">
      <c r="B16" s="168" t="s">
        <v>242</v>
      </c>
      <c r="C16" s="168"/>
      <c r="D16" s="168"/>
      <c r="E16" s="168"/>
      <c r="F16" s="168"/>
      <c r="G16" s="46">
        <f>SUM(G8:G15)</f>
        <v>349312</v>
      </c>
    </row>
    <row r="17" spans="2:3">
      <c r="C17" s="42"/>
    </row>
    <row r="18" spans="2:3">
      <c r="B18" s="29" t="s">
        <v>239</v>
      </c>
      <c r="C18" s="42"/>
    </row>
    <row r="19" spans="2:3">
      <c r="B19" s="29" t="s">
        <v>229</v>
      </c>
      <c r="C19" s="29"/>
    </row>
    <row r="20" spans="2:3">
      <c r="B20" s="29" t="s">
        <v>240</v>
      </c>
      <c r="C20" s="29"/>
    </row>
    <row r="21" spans="2:3">
      <c r="B21" s="29" t="s">
        <v>186</v>
      </c>
    </row>
    <row r="22" spans="2:3">
      <c r="B22" s="29" t="s">
        <v>230</v>
      </c>
    </row>
    <row r="23" spans="2:3">
      <c r="B23" s="29" t="s">
        <v>187</v>
      </c>
    </row>
    <row r="24" spans="2:3">
      <c r="B24" s="38" t="s">
        <v>237</v>
      </c>
    </row>
    <row r="25" spans="2:3">
      <c r="B25" s="29"/>
    </row>
  </sheetData>
  <mergeCells count="1">
    <mergeCell ref="B16:F16"/>
  </mergeCells>
  <conditionalFormatting sqref="C17:C18">
    <cfRule type="expression" dxfId="0" priority="2">
      <formula>IF(AND($A28&lt;&gt;"",$B28=""),TRUE,FALSE)</formula>
    </cfRule>
  </conditionalFormatting>
  <pageMargins left="0.511811024" right="0.511811024" top="0.78740157499999996" bottom="0.78740157499999996" header="0.31496062000000002" footer="0.31496062000000002"/>
  <pageSetup paperSize="9" scale="80" fitToHeight="0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0"/>
  <sheetViews>
    <sheetView view="pageBreakPreview" zoomScale="85" zoomScaleNormal="100" zoomScaleSheetLayoutView="85" workbookViewId="0"/>
  </sheetViews>
  <sheetFormatPr defaultRowHeight="15"/>
  <cols>
    <col min="1" max="1" width="3" style="16" customWidth="1"/>
    <col min="3" max="3" width="12.28515625" style="16" bestFit="1" customWidth="1"/>
    <col min="4" max="4" width="58.85546875" customWidth="1"/>
    <col min="5" max="5" width="13.85546875" bestFit="1" customWidth="1"/>
    <col min="6" max="6" width="9.28515625" bestFit="1" customWidth="1"/>
    <col min="7" max="7" width="21" bestFit="1" customWidth="1"/>
    <col min="8" max="8" width="20.28515625" customWidth="1"/>
    <col min="9" max="9" width="4" customWidth="1"/>
    <col min="10" max="10" width="5.140625" customWidth="1"/>
    <col min="11" max="11" width="10.28515625" customWidth="1"/>
    <col min="12" max="12" width="14.28515625" bestFit="1" customWidth="1"/>
    <col min="13" max="13" width="13.85546875" style="80" customWidth="1"/>
  </cols>
  <sheetData>
    <row r="1" spans="2:13" s="16" customFormat="1" ht="21">
      <c r="B1" s="31"/>
      <c r="I1"/>
      <c r="J1"/>
      <c r="K1"/>
      <c r="L1"/>
      <c r="M1" s="80"/>
    </row>
    <row r="2" spans="2:13" s="16" customFormat="1" ht="21">
      <c r="B2" s="31"/>
      <c r="C2" s="31"/>
      <c r="I2"/>
      <c r="J2"/>
      <c r="K2"/>
      <c r="L2"/>
      <c r="M2" s="80"/>
    </row>
    <row r="3" spans="2:13" s="16" customFormat="1" ht="21">
      <c r="B3" s="31"/>
      <c r="C3" s="31"/>
      <c r="I3"/>
      <c r="J3"/>
      <c r="K3"/>
      <c r="L3"/>
      <c r="M3" s="80"/>
    </row>
    <row r="4" spans="2:13">
      <c r="K4" t="s">
        <v>224</v>
      </c>
    </row>
    <row r="5" spans="2:13" s="16" customFormat="1">
      <c r="I5"/>
      <c r="J5"/>
      <c r="K5" s="145" t="s">
        <v>223</v>
      </c>
      <c r="L5"/>
      <c r="M5" s="80"/>
    </row>
    <row r="6" spans="2:13">
      <c r="B6" s="64" t="s">
        <v>0</v>
      </c>
      <c r="C6" s="64" t="s">
        <v>18</v>
      </c>
      <c r="D6" s="64" t="s">
        <v>3</v>
      </c>
      <c r="E6" s="64" t="s">
        <v>49</v>
      </c>
      <c r="F6" s="64" t="s">
        <v>127</v>
      </c>
      <c r="G6" s="64" t="s">
        <v>41</v>
      </c>
      <c r="H6" s="64" t="s">
        <v>110</v>
      </c>
      <c r="K6" s="146" t="s">
        <v>138</v>
      </c>
      <c r="L6" s="147" t="s">
        <v>185</v>
      </c>
      <c r="M6" s="147" t="s">
        <v>222</v>
      </c>
    </row>
    <row r="7" spans="2:13" s="16" customFormat="1" ht="30">
      <c r="B7" s="54">
        <v>1</v>
      </c>
      <c r="C7" s="54"/>
      <c r="D7" s="77" t="s">
        <v>243</v>
      </c>
      <c r="E7" s="54" t="s">
        <v>227</v>
      </c>
      <c r="F7" s="78">
        <f>'B1-Sintético'!$E$8</f>
        <v>100</v>
      </c>
      <c r="G7" s="82">
        <f>H17</f>
        <v>137.55830547945206</v>
      </c>
      <c r="H7" s="79">
        <f>F7*G7</f>
        <v>13755.830547945206</v>
      </c>
      <c r="K7" s="148"/>
      <c r="L7" s="147"/>
      <c r="M7" s="149"/>
    </row>
    <row r="8" spans="2:13" s="16" customFormat="1">
      <c r="B8" s="32"/>
      <c r="C8" s="44" t="s">
        <v>195</v>
      </c>
      <c r="D8" s="33" t="str">
        <f>VLOOKUP(C8,$C$110:$H$121,2,FALSE)</f>
        <v>Engenheiro Pleno (Civil) Ref. 40937 Sinapi - mensalista</v>
      </c>
      <c r="E8" s="44" t="s">
        <v>109</v>
      </c>
      <c r="F8" s="124">
        <v>1</v>
      </c>
      <c r="G8" s="65">
        <f>VLOOKUP(C8,$C$110:$H$121,6,FALSE)</f>
        <v>42.19</v>
      </c>
      <c r="H8" s="65">
        <f t="shared" ref="H8" si="0">F8*G8</f>
        <v>42.19</v>
      </c>
      <c r="K8" s="148">
        <f>$F$7*F8</f>
        <v>100</v>
      </c>
      <c r="L8" s="150">
        <f>ROUND(G8*K8,2)</f>
        <v>4219</v>
      </c>
      <c r="M8" s="149"/>
    </row>
    <row r="9" spans="2:13" s="16" customFormat="1">
      <c r="B9" s="32"/>
      <c r="C9" s="44" t="s">
        <v>211</v>
      </c>
      <c r="D9" s="33" t="str">
        <f>VLOOKUP(C9,$C$110:$H$121,2,FALSE)</f>
        <v>Topógrafo - Ref 40820 Sinapi - mensalista</v>
      </c>
      <c r="E9" s="44" t="s">
        <v>109</v>
      </c>
      <c r="F9" s="124">
        <v>1</v>
      </c>
      <c r="G9" s="65">
        <f>VLOOKUP(C9,$C$110:$H$121,6,FALSE)</f>
        <v>7.43</v>
      </c>
      <c r="H9" s="65">
        <f t="shared" ref="H9" si="1">F9*G9</f>
        <v>7.43</v>
      </c>
      <c r="K9" s="148">
        <f>$F$7*F9</f>
        <v>100</v>
      </c>
      <c r="L9" s="150">
        <f t="shared" ref="L9:L13" si="2">ROUND(G9*K9,2)</f>
        <v>743</v>
      </c>
      <c r="M9" s="149"/>
    </row>
    <row r="10" spans="2:13" s="16" customFormat="1">
      <c r="B10" s="32"/>
      <c r="C10" s="44" t="s">
        <v>213</v>
      </c>
      <c r="D10" s="33" t="str">
        <f>VLOOKUP(C10,$C$110:$H$123,2,FALSE)</f>
        <v>Auxiliar de topógrafo - Ref. 41093 - mensalista</v>
      </c>
      <c r="E10" s="44" t="s">
        <v>109</v>
      </c>
      <c r="F10" s="124">
        <v>2</v>
      </c>
      <c r="G10" s="65">
        <f>VLOOKUP(C10,$C$110:$H$123,6,FALSE)</f>
        <v>3.04</v>
      </c>
      <c r="H10" s="65">
        <f t="shared" ref="H10" si="3">F10*G10</f>
        <v>6.08</v>
      </c>
      <c r="K10" s="148">
        <f>$F$7*F10</f>
        <v>200</v>
      </c>
      <c r="L10" s="150">
        <f t="shared" si="2"/>
        <v>608</v>
      </c>
      <c r="M10" s="149"/>
    </row>
    <row r="11" spans="2:13" s="16" customFormat="1">
      <c r="B11" s="131"/>
      <c r="C11" s="132" t="s">
        <v>113</v>
      </c>
      <c r="D11" s="138" t="s">
        <v>119</v>
      </c>
      <c r="E11" s="132" t="s">
        <v>2</v>
      </c>
      <c r="F11" s="133">
        <f>FatorK1</f>
        <v>0.73510000000000009</v>
      </c>
      <c r="G11" s="134">
        <f>SUM(H8:H10)*F11</f>
        <v>40.945070000000001</v>
      </c>
      <c r="H11" s="134">
        <f>1*G11</f>
        <v>40.945070000000001</v>
      </c>
      <c r="K11" s="148">
        <f>$F$7</f>
        <v>100</v>
      </c>
      <c r="L11" s="150">
        <f t="shared" si="2"/>
        <v>4094.51</v>
      </c>
      <c r="M11" s="149"/>
    </row>
    <row r="12" spans="2:13" s="16" customFormat="1" ht="30">
      <c r="B12" s="131"/>
      <c r="C12" s="132" t="s">
        <v>114</v>
      </c>
      <c r="D12" s="135" t="s">
        <v>117</v>
      </c>
      <c r="E12" s="132" t="s">
        <v>2</v>
      </c>
      <c r="F12" s="133">
        <f>FatorK2</f>
        <v>9.9999999999999992E-2</v>
      </c>
      <c r="G12" s="136">
        <f>F12*SUM(H8:H10)</f>
        <v>5.5699999999999994</v>
      </c>
      <c r="H12" s="134">
        <f>G12</f>
        <v>5.5699999999999994</v>
      </c>
      <c r="K12" s="148">
        <f>$F$7</f>
        <v>100</v>
      </c>
      <c r="L12" s="150">
        <f t="shared" si="2"/>
        <v>557</v>
      </c>
      <c r="M12" s="149"/>
    </row>
    <row r="13" spans="2:13" s="16" customFormat="1" ht="30">
      <c r="B13" s="32"/>
      <c r="C13" s="44" t="s">
        <v>128</v>
      </c>
      <c r="D13" s="33" t="s">
        <v>126</v>
      </c>
      <c r="E13" s="44" t="s">
        <v>109</v>
      </c>
      <c r="F13" s="34">
        <f>SUM(F8:F10)</f>
        <v>4</v>
      </c>
      <c r="G13" s="65">
        <f>'B4d-EC'!$E$11</f>
        <v>2.34</v>
      </c>
      <c r="H13" s="65">
        <f>F13*G13</f>
        <v>9.36</v>
      </c>
      <c r="K13" s="148">
        <f>$F$7*F13</f>
        <v>400</v>
      </c>
      <c r="L13" s="150">
        <f t="shared" si="2"/>
        <v>936</v>
      </c>
      <c r="M13" s="149"/>
    </row>
    <row r="14" spans="2:13" s="16" customFormat="1">
      <c r="B14" s="170" t="s">
        <v>112</v>
      </c>
      <c r="C14" s="170"/>
      <c r="D14" s="170"/>
      <c r="E14" s="170"/>
      <c r="F14" s="170"/>
      <c r="G14" s="170"/>
      <c r="H14" s="66">
        <f>SUM(H8:H13)</f>
        <v>111.57507</v>
      </c>
      <c r="K14" s="148"/>
      <c r="L14" s="147"/>
      <c r="M14" s="149"/>
    </row>
    <row r="15" spans="2:13" s="16" customFormat="1">
      <c r="B15" s="131"/>
      <c r="C15" s="132" t="s">
        <v>115</v>
      </c>
      <c r="D15" s="131" t="s">
        <v>118</v>
      </c>
      <c r="E15" s="132" t="s">
        <v>2</v>
      </c>
      <c r="F15" s="137">
        <f>FatorK3</f>
        <v>0.08</v>
      </c>
      <c r="G15" s="136">
        <f>H14*F15</f>
        <v>8.9260055999999999</v>
      </c>
      <c r="H15" s="134">
        <f>G15</f>
        <v>8.9260055999999999</v>
      </c>
      <c r="K15" s="148">
        <f>$F$7</f>
        <v>100</v>
      </c>
      <c r="L15" s="150">
        <f t="shared" ref="L15:L16" si="4">ROUND(G15*K15,2)</f>
        <v>892.6</v>
      </c>
      <c r="M15" s="149"/>
    </row>
    <row r="16" spans="2:13" s="16" customFormat="1">
      <c r="B16" s="131"/>
      <c r="C16" s="132" t="s">
        <v>116</v>
      </c>
      <c r="D16" s="131" t="s">
        <v>198</v>
      </c>
      <c r="E16" s="132" t="s">
        <v>2</v>
      </c>
      <c r="F16" s="133">
        <f>FatorK4</f>
        <v>0.14155251141552516</v>
      </c>
      <c r="G16" s="136">
        <f>F16*(H14+H15)</f>
        <v>17.057229879452059</v>
      </c>
      <c r="H16" s="134">
        <f>G16</f>
        <v>17.057229879452059</v>
      </c>
      <c r="K16" s="148">
        <f>$F$7</f>
        <v>100</v>
      </c>
      <c r="L16" s="150">
        <f t="shared" si="4"/>
        <v>1705.72</v>
      </c>
      <c r="M16" s="149"/>
    </row>
    <row r="17" spans="2:13" s="16" customFormat="1">
      <c r="B17" s="169" t="s">
        <v>111</v>
      </c>
      <c r="C17" s="169"/>
      <c r="D17" s="169"/>
      <c r="E17" s="169"/>
      <c r="F17" s="169"/>
      <c r="G17" s="169"/>
      <c r="H17" s="50">
        <f>SUM(H14:H16)</f>
        <v>137.55830547945206</v>
      </c>
      <c r="K17" s="148"/>
      <c r="L17" s="147" t="s">
        <v>221</v>
      </c>
      <c r="M17" s="151">
        <f>SUM(L8:L16)</f>
        <v>13755.83</v>
      </c>
    </row>
    <row r="18" spans="2:13" s="16" customFormat="1">
      <c r="B18" s="81"/>
      <c r="C18" s="81"/>
      <c r="D18" s="81"/>
      <c r="E18" s="81"/>
      <c r="F18" s="81"/>
      <c r="G18" s="81"/>
      <c r="H18" s="81"/>
      <c r="K18" s="148"/>
      <c r="L18" s="147"/>
      <c r="M18" s="149"/>
    </row>
    <row r="19" spans="2:13" s="16" customFormat="1" ht="30">
      <c r="B19" s="54">
        <v>2</v>
      </c>
      <c r="C19" s="54"/>
      <c r="D19" s="77" t="s">
        <v>244</v>
      </c>
      <c r="E19" s="54" t="s">
        <v>227</v>
      </c>
      <c r="F19" s="78">
        <f>'B1-Sintético'!$E$9</f>
        <v>100</v>
      </c>
      <c r="G19" s="82">
        <f>H29</f>
        <v>156.64178342465752</v>
      </c>
      <c r="H19" s="79">
        <f>F19*G19</f>
        <v>15664.178342465751</v>
      </c>
      <c r="K19" s="148"/>
      <c r="L19" s="147"/>
      <c r="M19" s="149"/>
    </row>
    <row r="20" spans="2:13" s="16" customFormat="1">
      <c r="B20" s="32"/>
      <c r="C20" s="44" t="s">
        <v>195</v>
      </c>
      <c r="D20" s="33" t="str">
        <f>VLOOKUP(C20,TAB_INSUMOS,2,FALSE)</f>
        <v>Engenheiro Pleno (Civil) Ref. 40937 Sinapi - mensalista</v>
      </c>
      <c r="E20" s="44" t="s">
        <v>109</v>
      </c>
      <c r="F20" s="124">
        <v>1</v>
      </c>
      <c r="G20" s="65">
        <f>VLOOKUP(C20,TAB_INSUMOS,6,FALSE)</f>
        <v>42.19</v>
      </c>
      <c r="H20" s="65">
        <f t="shared" ref="H20" si="5">F20*G20</f>
        <v>42.19</v>
      </c>
      <c r="K20" s="148">
        <f>$F$19*F20</f>
        <v>100</v>
      </c>
      <c r="L20" s="150">
        <f t="shared" ref="L20:L25" si="6">ROUND(G20*K20,2)</f>
        <v>4219</v>
      </c>
      <c r="M20" s="149"/>
    </row>
    <row r="21" spans="2:13" s="16" customFormat="1">
      <c r="B21" s="32"/>
      <c r="C21" s="44" t="s">
        <v>215</v>
      </c>
      <c r="D21" s="33" t="str">
        <f>VLOOKUP(C21,TAB_INSUMOS,2,FALSE)</f>
        <v>Auxiliar técnico de engenharia - Ref. 40931 - mensalista</v>
      </c>
      <c r="E21" s="44" t="s">
        <v>109</v>
      </c>
      <c r="F21" s="124">
        <v>1</v>
      </c>
      <c r="G21" s="65">
        <f>VLOOKUP(C21,TAB_INSUMOS,6,FALSE)</f>
        <v>9.86</v>
      </c>
      <c r="H21" s="65">
        <f t="shared" ref="H21" si="7">F21*G21</f>
        <v>9.86</v>
      </c>
      <c r="K21" s="148">
        <f>$F$19*F21</f>
        <v>100</v>
      </c>
      <c r="L21" s="150">
        <f t="shared" si="6"/>
        <v>986</v>
      </c>
      <c r="M21" s="149"/>
    </row>
    <row r="22" spans="2:13" s="16" customFormat="1">
      <c r="B22" s="32"/>
      <c r="C22" s="44" t="s">
        <v>218</v>
      </c>
      <c r="D22" s="33" t="str">
        <f>VLOOKUP(C22,TAB_INSUMOS,2,FALSE)</f>
        <v>Técnico em sondagem - Ref 41092 - mensalista</v>
      </c>
      <c r="E22" s="44" t="s">
        <v>109</v>
      </c>
      <c r="F22" s="124">
        <v>1</v>
      </c>
      <c r="G22" s="65">
        <f>VLOOKUP(C22,TAB_INSUMOS,6,FALSE)</f>
        <v>13.36</v>
      </c>
      <c r="H22" s="65">
        <f t="shared" ref="H22" si="8">F22*G22</f>
        <v>13.36</v>
      </c>
      <c r="K22" s="148">
        <f>$F$19*F22</f>
        <v>100</v>
      </c>
      <c r="L22" s="150">
        <f t="shared" si="6"/>
        <v>1336</v>
      </c>
      <c r="M22" s="149"/>
    </row>
    <row r="23" spans="2:13" s="16" customFormat="1">
      <c r="B23" s="131"/>
      <c r="C23" s="132" t="s">
        <v>113</v>
      </c>
      <c r="D23" s="138" t="s">
        <v>119</v>
      </c>
      <c r="E23" s="132" t="s">
        <v>2</v>
      </c>
      <c r="F23" s="133">
        <f>FatorK1</f>
        <v>0.73510000000000009</v>
      </c>
      <c r="G23" s="134">
        <f>SUM(H20:H22)*F23</f>
        <v>48.082891000000004</v>
      </c>
      <c r="H23" s="134">
        <f>1*G23</f>
        <v>48.082891000000004</v>
      </c>
      <c r="K23" s="148">
        <f>$F$19</f>
        <v>100</v>
      </c>
      <c r="L23" s="150">
        <f t="shared" si="6"/>
        <v>4808.29</v>
      </c>
      <c r="M23" s="149"/>
    </row>
    <row r="24" spans="2:13" s="16" customFormat="1" ht="30">
      <c r="B24" s="131"/>
      <c r="C24" s="132" t="s">
        <v>114</v>
      </c>
      <c r="D24" s="135" t="s">
        <v>117</v>
      </c>
      <c r="E24" s="132" t="s">
        <v>2</v>
      </c>
      <c r="F24" s="133">
        <f>FatorK2</f>
        <v>9.9999999999999992E-2</v>
      </c>
      <c r="G24" s="136">
        <f>F24*SUM(H20:H22)</f>
        <v>6.5409999999999995</v>
      </c>
      <c r="H24" s="134">
        <f>G24</f>
        <v>6.5409999999999995</v>
      </c>
      <c r="K24" s="148">
        <f>$F$19</f>
        <v>100</v>
      </c>
      <c r="L24" s="150">
        <f t="shared" si="6"/>
        <v>654.1</v>
      </c>
      <c r="M24" s="149"/>
    </row>
    <row r="25" spans="2:13" s="16" customFormat="1" ht="30">
      <c r="B25" s="32"/>
      <c r="C25" s="44" t="s">
        <v>128</v>
      </c>
      <c r="D25" s="33" t="s">
        <v>126</v>
      </c>
      <c r="E25" s="44" t="s">
        <v>109</v>
      </c>
      <c r="F25" s="34">
        <f>SUM(F20:F22)</f>
        <v>3</v>
      </c>
      <c r="G25" s="65">
        <f>'B4d-EC'!$E$11</f>
        <v>2.34</v>
      </c>
      <c r="H25" s="65">
        <f>F25*G25</f>
        <v>7.02</v>
      </c>
      <c r="K25" s="148">
        <f>$F$19*F25</f>
        <v>300</v>
      </c>
      <c r="L25" s="150">
        <f t="shared" si="6"/>
        <v>702</v>
      </c>
      <c r="M25" s="149"/>
    </row>
    <row r="26" spans="2:13" s="16" customFormat="1">
      <c r="B26" s="170" t="s">
        <v>112</v>
      </c>
      <c r="C26" s="170"/>
      <c r="D26" s="170"/>
      <c r="E26" s="170"/>
      <c r="F26" s="170"/>
      <c r="G26" s="170"/>
      <c r="H26" s="66">
        <f>SUM(H20:H25)</f>
        <v>127.05389099999999</v>
      </c>
      <c r="K26" s="148"/>
      <c r="L26" s="147"/>
      <c r="M26" s="149"/>
    </row>
    <row r="27" spans="2:13" s="16" customFormat="1">
      <c r="B27" s="131"/>
      <c r="C27" s="132" t="s">
        <v>115</v>
      </c>
      <c r="D27" s="131" t="s">
        <v>118</v>
      </c>
      <c r="E27" s="132" t="s">
        <v>2</v>
      </c>
      <c r="F27" s="137">
        <f>FatorK3</f>
        <v>0.08</v>
      </c>
      <c r="G27" s="136">
        <f>H26*F27</f>
        <v>10.16431128</v>
      </c>
      <c r="H27" s="134">
        <f>G27</f>
        <v>10.16431128</v>
      </c>
      <c r="K27" s="148">
        <f>$F$19</f>
        <v>100</v>
      </c>
      <c r="L27" s="150">
        <f t="shared" ref="L27:L28" si="9">ROUND(G27*K27,2)</f>
        <v>1016.43</v>
      </c>
      <c r="M27" s="149"/>
    </row>
    <row r="28" spans="2:13" s="16" customFormat="1">
      <c r="B28" s="131"/>
      <c r="C28" s="132" t="s">
        <v>116</v>
      </c>
      <c r="D28" s="131" t="s">
        <v>198</v>
      </c>
      <c r="E28" s="132" t="s">
        <v>2</v>
      </c>
      <c r="F28" s="133">
        <f>FatorK4</f>
        <v>0.14155251141552516</v>
      </c>
      <c r="G28" s="136">
        <f>F28*(H26+H27)</f>
        <v>19.42358114465754</v>
      </c>
      <c r="H28" s="134">
        <f>G28</f>
        <v>19.42358114465754</v>
      </c>
      <c r="K28" s="148">
        <f>$F$19</f>
        <v>100</v>
      </c>
      <c r="L28" s="150">
        <f t="shared" si="9"/>
        <v>1942.36</v>
      </c>
      <c r="M28" s="149"/>
    </row>
    <row r="29" spans="2:13" s="16" customFormat="1">
      <c r="B29" s="169" t="s">
        <v>111</v>
      </c>
      <c r="C29" s="169"/>
      <c r="D29" s="169"/>
      <c r="E29" s="169"/>
      <c r="F29" s="169"/>
      <c r="G29" s="169"/>
      <c r="H29" s="50">
        <f>SUM(H26:H28)</f>
        <v>156.64178342465752</v>
      </c>
      <c r="K29" s="148"/>
      <c r="L29" s="147" t="s">
        <v>221</v>
      </c>
      <c r="M29" s="151">
        <f>SUM(L20:L28)</f>
        <v>15664.180000000002</v>
      </c>
    </row>
    <row r="30" spans="2:13" s="16" customFormat="1">
      <c r="B30" s="81"/>
      <c r="C30" s="81"/>
      <c r="D30" s="81"/>
      <c r="E30" s="81"/>
      <c r="F30" s="81"/>
      <c r="G30" s="81"/>
      <c r="H30" s="81"/>
      <c r="K30" s="148"/>
      <c r="L30" s="147"/>
      <c r="M30" s="149"/>
    </row>
    <row r="31" spans="2:13" s="16" customFormat="1" ht="30">
      <c r="B31" s="54">
        <v>3</v>
      </c>
      <c r="C31" s="54"/>
      <c r="D31" s="77" t="s">
        <v>245</v>
      </c>
      <c r="E31" s="54" t="s">
        <v>227</v>
      </c>
      <c r="F31" s="78">
        <f>'B1-Sintético'!$E$10</f>
        <v>100</v>
      </c>
      <c r="G31" s="82">
        <f>H40</f>
        <v>199.10861876712329</v>
      </c>
      <c r="H31" s="79">
        <f>F31*G31</f>
        <v>19910.86187671233</v>
      </c>
      <c r="K31" s="148"/>
      <c r="L31" s="147"/>
      <c r="M31" s="149"/>
    </row>
    <row r="32" spans="2:13" s="16" customFormat="1">
      <c r="B32" s="32"/>
      <c r="C32" s="44" t="s">
        <v>209</v>
      </c>
      <c r="D32" s="33" t="str">
        <f>VLOOKUP(C32,$C$110:$H$121,2,FALSE)</f>
        <v>Engenheiro Ambiental - Ref. 40937 Sinapi - mensalista</v>
      </c>
      <c r="E32" s="44" t="s">
        <v>109</v>
      </c>
      <c r="F32" s="124">
        <v>1</v>
      </c>
      <c r="G32" s="65">
        <f>VLOOKUP(C32,$C$110:$H$121,6,FALSE)</f>
        <v>42.19</v>
      </c>
      <c r="H32" s="65">
        <f t="shared" ref="H32:H33" si="10">F32*G32</f>
        <v>42.19</v>
      </c>
      <c r="K32" s="148">
        <f>$F$31*F32</f>
        <v>100</v>
      </c>
      <c r="L32" s="150">
        <f t="shared" ref="L32:L36" si="11">ROUND(G32*K32,2)</f>
        <v>4219</v>
      </c>
      <c r="M32" s="149"/>
    </row>
    <row r="33" spans="2:13" s="16" customFormat="1">
      <c r="B33" s="32"/>
      <c r="C33" s="44" t="s">
        <v>215</v>
      </c>
      <c r="D33" s="33" t="str">
        <f>VLOOKUP(C33,TAB_INSUMOS,2,FALSE)</f>
        <v>Auxiliar técnico de engenharia - Ref. 40931 - mensalista</v>
      </c>
      <c r="E33" s="44" t="s">
        <v>109</v>
      </c>
      <c r="F33" s="124">
        <v>4</v>
      </c>
      <c r="G33" s="65">
        <f>VLOOKUP(C33,TAB_INSUMOS,6,FALSE)</f>
        <v>9.86</v>
      </c>
      <c r="H33" s="65">
        <f t="shared" si="10"/>
        <v>39.44</v>
      </c>
      <c r="K33" s="148">
        <f>$F$31*F33</f>
        <v>400</v>
      </c>
      <c r="L33" s="150">
        <f t="shared" si="11"/>
        <v>3944</v>
      </c>
      <c r="M33" s="149"/>
    </row>
    <row r="34" spans="2:13" s="16" customFormat="1">
      <c r="B34" s="131"/>
      <c r="C34" s="132" t="s">
        <v>113</v>
      </c>
      <c r="D34" s="138" t="s">
        <v>119</v>
      </c>
      <c r="E34" s="132" t="s">
        <v>2</v>
      </c>
      <c r="F34" s="133">
        <f>FatorK1</f>
        <v>0.73510000000000009</v>
      </c>
      <c r="G34" s="134">
        <f>SUM(H32:H33)*F34</f>
        <v>60.006213000000002</v>
      </c>
      <c r="H34" s="134">
        <f>1*G34</f>
        <v>60.006213000000002</v>
      </c>
      <c r="K34" s="148">
        <f>$F$31</f>
        <v>100</v>
      </c>
      <c r="L34" s="150">
        <f t="shared" si="11"/>
        <v>6000.62</v>
      </c>
      <c r="M34" s="149"/>
    </row>
    <row r="35" spans="2:13" s="16" customFormat="1" ht="30">
      <c r="B35" s="131"/>
      <c r="C35" s="132" t="s">
        <v>114</v>
      </c>
      <c r="D35" s="135" t="s">
        <v>117</v>
      </c>
      <c r="E35" s="132" t="s">
        <v>2</v>
      </c>
      <c r="F35" s="133">
        <f>FatorK2</f>
        <v>9.9999999999999992E-2</v>
      </c>
      <c r="G35" s="136">
        <f>F35*SUM(H32:H33)</f>
        <v>8.1629999999999985</v>
      </c>
      <c r="H35" s="134">
        <f>G35</f>
        <v>8.1629999999999985</v>
      </c>
      <c r="K35" s="148">
        <f>$F$31</f>
        <v>100</v>
      </c>
      <c r="L35" s="150">
        <f t="shared" si="11"/>
        <v>816.3</v>
      </c>
      <c r="M35" s="149"/>
    </row>
    <row r="36" spans="2:13" s="16" customFormat="1" ht="30">
      <c r="B36" s="32"/>
      <c r="C36" s="44" t="s">
        <v>128</v>
      </c>
      <c r="D36" s="33" t="s">
        <v>126</v>
      </c>
      <c r="E36" s="44" t="s">
        <v>109</v>
      </c>
      <c r="F36" s="34">
        <f>SUM(F32:F33)</f>
        <v>5</v>
      </c>
      <c r="G36" s="65">
        <f>'B4d-EC'!$E$11</f>
        <v>2.34</v>
      </c>
      <c r="H36" s="65">
        <f>F36*G36</f>
        <v>11.7</v>
      </c>
      <c r="K36" s="148">
        <f>$F$31*F36</f>
        <v>500</v>
      </c>
      <c r="L36" s="150">
        <f t="shared" si="11"/>
        <v>1170</v>
      </c>
      <c r="M36" s="149"/>
    </row>
    <row r="37" spans="2:13" s="16" customFormat="1">
      <c r="B37" s="170" t="s">
        <v>112</v>
      </c>
      <c r="C37" s="170"/>
      <c r="D37" s="170"/>
      <c r="E37" s="170"/>
      <c r="F37" s="170"/>
      <c r="G37" s="170"/>
      <c r="H37" s="66">
        <f>SUM(H32:H36)</f>
        <v>161.499213</v>
      </c>
      <c r="K37" s="148"/>
      <c r="L37" s="147"/>
      <c r="M37" s="149"/>
    </row>
    <row r="38" spans="2:13" s="16" customFormat="1">
      <c r="B38" s="131"/>
      <c r="C38" s="132" t="s">
        <v>115</v>
      </c>
      <c r="D38" s="131" t="s">
        <v>118</v>
      </c>
      <c r="E38" s="132" t="s">
        <v>2</v>
      </c>
      <c r="F38" s="137">
        <f>FatorK3</f>
        <v>0.08</v>
      </c>
      <c r="G38" s="136">
        <f>H37*F38</f>
        <v>12.919937040000001</v>
      </c>
      <c r="H38" s="134">
        <f>G38</f>
        <v>12.919937040000001</v>
      </c>
      <c r="K38" s="148">
        <f>$F$31</f>
        <v>100</v>
      </c>
      <c r="L38" s="150">
        <f t="shared" ref="L38:L39" si="12">ROUND(G38*K38,2)</f>
        <v>1291.99</v>
      </c>
      <c r="M38" s="149"/>
    </row>
    <row r="39" spans="2:13" s="16" customFormat="1">
      <c r="B39" s="131"/>
      <c r="C39" s="132" t="s">
        <v>116</v>
      </c>
      <c r="D39" s="131" t="s">
        <v>198</v>
      </c>
      <c r="E39" s="132" t="s">
        <v>2</v>
      </c>
      <c r="F39" s="133">
        <f>FatorK4</f>
        <v>0.14155251141552516</v>
      </c>
      <c r="G39" s="136">
        <f>F39*(H37+H38)</f>
        <v>24.689468727123298</v>
      </c>
      <c r="H39" s="134">
        <f>G39</f>
        <v>24.689468727123298</v>
      </c>
      <c r="K39" s="148">
        <f>$F$31</f>
        <v>100</v>
      </c>
      <c r="L39" s="150">
        <f t="shared" si="12"/>
        <v>2468.9499999999998</v>
      </c>
      <c r="M39" s="149"/>
    </row>
    <row r="40" spans="2:13" s="16" customFormat="1">
      <c r="B40" s="169" t="s">
        <v>111</v>
      </c>
      <c r="C40" s="169"/>
      <c r="D40" s="169"/>
      <c r="E40" s="169"/>
      <c r="F40" s="169"/>
      <c r="G40" s="169"/>
      <c r="H40" s="50">
        <f>SUM(H37:H39)</f>
        <v>199.10861876712329</v>
      </c>
      <c r="K40" s="148"/>
      <c r="L40" s="147" t="s">
        <v>221</v>
      </c>
      <c r="M40" s="151">
        <f>SUM(L32:L39)</f>
        <v>19910.86</v>
      </c>
    </row>
    <row r="41" spans="2:13" s="16" customFormat="1">
      <c r="B41" s="81"/>
      <c r="C41" s="81"/>
      <c r="D41" s="81"/>
      <c r="E41" s="81"/>
      <c r="F41" s="81"/>
      <c r="G41" s="81"/>
      <c r="H41" s="81"/>
      <c r="K41" s="148"/>
      <c r="L41" s="147"/>
      <c r="M41" s="149"/>
    </row>
    <row r="42" spans="2:13" s="16" customFormat="1" ht="30">
      <c r="B42" s="54">
        <v>4</v>
      </c>
      <c r="C42" s="54"/>
      <c r="D42" s="77" t="s">
        <v>246</v>
      </c>
      <c r="E42" s="54" t="s">
        <v>227</v>
      </c>
      <c r="F42" s="78">
        <f>'B1-Sintético'!$E$11</f>
        <v>500</v>
      </c>
      <c r="G42" s="82">
        <f>H53</f>
        <v>223.4464890410959</v>
      </c>
      <c r="H42" s="79">
        <f>F42*G42</f>
        <v>111723.24452054795</v>
      </c>
      <c r="K42" s="148"/>
      <c r="L42" s="147"/>
      <c r="M42" s="149"/>
    </row>
    <row r="43" spans="2:13" s="16" customFormat="1" ht="30">
      <c r="B43" s="32"/>
      <c r="C43" s="44" t="s">
        <v>196</v>
      </c>
      <c r="D43" s="33" t="str">
        <f>VLOOKUP(C43,$C$110:$H$121,2,FALSE)</f>
        <v>Gerente de projetos (Engenheiro ou Arquiteto Sênior) - Ref. 40938 Sinapi - mensalista</v>
      </c>
      <c r="E43" s="44" t="s">
        <v>109</v>
      </c>
      <c r="F43" s="124">
        <v>0.5</v>
      </c>
      <c r="G43" s="65">
        <f>VLOOKUP(C43,$C$110:$H$121,6,FALSE)</f>
        <v>57.82</v>
      </c>
      <c r="H43" s="65">
        <f t="shared" ref="H43:H46" si="13">F43*G43</f>
        <v>28.91</v>
      </c>
      <c r="K43" s="148">
        <f>F43*$F$42</f>
        <v>250</v>
      </c>
      <c r="L43" s="150">
        <f t="shared" ref="L43:L49" si="14">ROUND(G43*K43,2)</f>
        <v>14455</v>
      </c>
      <c r="M43" s="149"/>
    </row>
    <row r="44" spans="2:13" s="16" customFormat="1">
      <c r="B44" s="32"/>
      <c r="C44" s="44" t="s">
        <v>191</v>
      </c>
      <c r="D44" s="33" t="str">
        <f>VLOOKUP(C44,$C$110:$H$121,2,FALSE)</f>
        <v>Arquiteto Sênior - Ref. 40817 Sinapi -  mensalista</v>
      </c>
      <c r="E44" s="44" t="s">
        <v>109</v>
      </c>
      <c r="F44" s="124">
        <v>1</v>
      </c>
      <c r="G44" s="65">
        <f>VLOOKUP(C44,$C$110:$H$121,6,FALSE)</f>
        <v>51.02</v>
      </c>
      <c r="H44" s="65">
        <f t="shared" si="13"/>
        <v>51.02</v>
      </c>
      <c r="K44" s="148">
        <f t="shared" ref="K44:K46" si="15">F44*$F$42</f>
        <v>500</v>
      </c>
      <c r="L44" s="150">
        <f t="shared" si="14"/>
        <v>25510</v>
      </c>
      <c r="M44" s="149"/>
    </row>
    <row r="45" spans="2:13" s="16" customFormat="1">
      <c r="B45" s="32"/>
      <c r="C45" s="44" t="s">
        <v>216</v>
      </c>
      <c r="D45" s="33" t="str">
        <f>VLOOKUP(C45,$C$110:$H$121,2,FALSE)</f>
        <v>Desenhista auxiliar - Ref. 40808 - mensalista</v>
      </c>
      <c r="E45" s="44" t="s">
        <v>109</v>
      </c>
      <c r="F45" s="124">
        <v>1</v>
      </c>
      <c r="G45" s="65">
        <f>VLOOKUP(C45,$C$110:$H$121,6,FALSE)</f>
        <v>7.28</v>
      </c>
      <c r="H45" s="65">
        <f t="shared" ref="H45" si="16">F45*G45</f>
        <v>7.28</v>
      </c>
      <c r="K45" s="148">
        <f t="shared" si="15"/>
        <v>500</v>
      </c>
      <c r="L45" s="150">
        <f t="shared" si="14"/>
        <v>3640</v>
      </c>
      <c r="M45" s="149"/>
    </row>
    <row r="46" spans="2:13" s="16" customFormat="1">
      <c r="B46" s="32"/>
      <c r="C46" s="44" t="s">
        <v>192</v>
      </c>
      <c r="D46" s="33" t="str">
        <f>VLOOKUP(C46,$C$110:$H$121,2,FALSE)</f>
        <v>Desenhista/Cadista - Ref. 40807 - mensalista</v>
      </c>
      <c r="E46" s="44" t="s">
        <v>109</v>
      </c>
      <c r="F46" s="124">
        <v>1</v>
      </c>
      <c r="G46" s="65">
        <f>VLOOKUP(C46,$C$110:$H$121,6,FALSE)</f>
        <v>7.09</v>
      </c>
      <c r="H46" s="65">
        <f t="shared" si="13"/>
        <v>7.09</v>
      </c>
      <c r="K46" s="148">
        <f t="shared" si="15"/>
        <v>500</v>
      </c>
      <c r="L46" s="150">
        <f t="shared" si="14"/>
        <v>3545</v>
      </c>
      <c r="M46" s="149"/>
    </row>
    <row r="47" spans="2:13" s="16" customFormat="1">
      <c r="B47" s="131"/>
      <c r="C47" s="132" t="s">
        <v>113</v>
      </c>
      <c r="D47" s="138" t="s">
        <v>119</v>
      </c>
      <c r="E47" s="132" t="s">
        <v>2</v>
      </c>
      <c r="F47" s="133">
        <f>FatorK1</f>
        <v>0.73510000000000009</v>
      </c>
      <c r="G47" s="134">
        <f>SUM(H43:H46)*F47</f>
        <v>69.319930000000014</v>
      </c>
      <c r="H47" s="134">
        <f>1*G47</f>
        <v>69.319930000000014</v>
      </c>
      <c r="K47" s="148">
        <f>$F$42</f>
        <v>500</v>
      </c>
      <c r="L47" s="150">
        <f t="shared" si="14"/>
        <v>34659.97</v>
      </c>
      <c r="M47" s="149"/>
    </row>
    <row r="48" spans="2:13" s="16" customFormat="1" ht="30">
      <c r="B48" s="131"/>
      <c r="C48" s="132" t="s">
        <v>114</v>
      </c>
      <c r="D48" s="135" t="s">
        <v>117</v>
      </c>
      <c r="E48" s="132" t="s">
        <v>2</v>
      </c>
      <c r="F48" s="133">
        <f>FatorK2</f>
        <v>9.9999999999999992E-2</v>
      </c>
      <c r="G48" s="136">
        <f>F48*SUM(H43:H46)</f>
        <v>9.43</v>
      </c>
      <c r="H48" s="134">
        <f>G48</f>
        <v>9.43</v>
      </c>
      <c r="K48" s="148">
        <f>$F$42</f>
        <v>500</v>
      </c>
      <c r="L48" s="150">
        <f t="shared" si="14"/>
        <v>4715</v>
      </c>
      <c r="M48" s="149"/>
    </row>
    <row r="49" spans="2:13" s="16" customFormat="1" ht="30">
      <c r="B49" s="32"/>
      <c r="C49" s="44" t="s">
        <v>128</v>
      </c>
      <c r="D49" s="33" t="s">
        <v>126</v>
      </c>
      <c r="E49" s="44" t="s">
        <v>109</v>
      </c>
      <c r="F49" s="34">
        <f>SUM(F43:F46)</f>
        <v>3.5</v>
      </c>
      <c r="G49" s="65">
        <f>'B4d-EC'!$E$11</f>
        <v>2.34</v>
      </c>
      <c r="H49" s="65">
        <f>F49*G49</f>
        <v>8.19</v>
      </c>
      <c r="K49" s="148">
        <f t="shared" ref="K49" si="17">F49*$F$42</f>
        <v>1750</v>
      </c>
      <c r="L49" s="150">
        <f t="shared" si="14"/>
        <v>4095</v>
      </c>
      <c r="M49" s="149"/>
    </row>
    <row r="50" spans="2:13" s="16" customFormat="1">
      <c r="B50" s="170" t="s">
        <v>112</v>
      </c>
      <c r="C50" s="170"/>
      <c r="D50" s="170"/>
      <c r="E50" s="170"/>
      <c r="F50" s="170"/>
      <c r="G50" s="170"/>
      <c r="H50" s="66">
        <f>SUM(H43:H49)</f>
        <v>181.23993000000002</v>
      </c>
      <c r="K50" s="148"/>
      <c r="L50" s="152"/>
      <c r="M50" s="149"/>
    </row>
    <row r="51" spans="2:13" s="16" customFormat="1">
      <c r="B51" s="131"/>
      <c r="C51" s="132" t="s">
        <v>115</v>
      </c>
      <c r="D51" s="131" t="s">
        <v>118</v>
      </c>
      <c r="E51" s="132" t="s">
        <v>2</v>
      </c>
      <c r="F51" s="137">
        <f>FatorK3</f>
        <v>0.08</v>
      </c>
      <c r="G51" s="136">
        <f>H50*F51</f>
        <v>14.499194400000002</v>
      </c>
      <c r="H51" s="134">
        <f>G51</f>
        <v>14.499194400000002</v>
      </c>
      <c r="K51" s="148">
        <f>$F$42</f>
        <v>500</v>
      </c>
      <c r="L51" s="150">
        <f t="shared" ref="L51:L52" si="18">ROUND(G51*K51,2)</f>
        <v>7249.6</v>
      </c>
      <c r="M51" s="149"/>
    </row>
    <row r="52" spans="2:13" s="16" customFormat="1">
      <c r="B52" s="131"/>
      <c r="C52" s="132" t="s">
        <v>116</v>
      </c>
      <c r="D52" s="131" t="s">
        <v>198</v>
      </c>
      <c r="E52" s="132" t="s">
        <v>2</v>
      </c>
      <c r="F52" s="133">
        <f>FatorK4</f>
        <v>0.14155251141552516</v>
      </c>
      <c r="G52" s="136">
        <f>F52*(H50+H51)</f>
        <v>27.7073646410959</v>
      </c>
      <c r="H52" s="134">
        <f>G52</f>
        <v>27.7073646410959</v>
      </c>
      <c r="K52" s="148">
        <f>$F$42</f>
        <v>500</v>
      </c>
      <c r="L52" s="150">
        <f t="shared" si="18"/>
        <v>13853.68</v>
      </c>
      <c r="M52" s="149"/>
    </row>
    <row r="53" spans="2:13" s="16" customFormat="1">
      <c r="B53" s="169" t="s">
        <v>111</v>
      </c>
      <c r="C53" s="169"/>
      <c r="D53" s="169"/>
      <c r="E53" s="169"/>
      <c r="F53" s="169"/>
      <c r="G53" s="169"/>
      <c r="H53" s="50">
        <f>SUM(H50:H52)</f>
        <v>223.4464890410959</v>
      </c>
      <c r="K53" s="148"/>
      <c r="L53" s="147" t="s">
        <v>221</v>
      </c>
      <c r="M53" s="151">
        <f>SUM(L43:L53)</f>
        <v>111723.25</v>
      </c>
    </row>
    <row r="54" spans="2:13" s="16" customFormat="1">
      <c r="B54" s="125"/>
      <c r="C54" s="125"/>
      <c r="D54" s="125"/>
      <c r="E54" s="125"/>
      <c r="F54" s="125"/>
      <c r="G54" s="125"/>
      <c r="H54" s="50"/>
      <c r="K54" s="148"/>
      <c r="L54" s="147"/>
      <c r="M54" s="149"/>
    </row>
    <row r="55" spans="2:13" ht="30">
      <c r="B55" s="54">
        <v>5</v>
      </c>
      <c r="C55" s="54"/>
      <c r="D55" s="77" t="s">
        <v>247</v>
      </c>
      <c r="E55" s="54" t="s">
        <v>227</v>
      </c>
      <c r="F55" s="78">
        <f>'B1-Sintético'!$E$12</f>
        <v>500</v>
      </c>
      <c r="G55" s="82">
        <f>H68</f>
        <v>202.53128153424655</v>
      </c>
      <c r="H55" s="79">
        <f>F55*G55</f>
        <v>101265.64076712327</v>
      </c>
      <c r="K55" s="148"/>
      <c r="L55" s="149"/>
      <c r="M55" s="149"/>
    </row>
    <row r="56" spans="2:13" ht="30">
      <c r="B56" s="32"/>
      <c r="C56" s="44" t="s">
        <v>196</v>
      </c>
      <c r="D56" s="33" t="str">
        <f>VLOOKUP(C56,$C$110:$H$121,2,FALSE)</f>
        <v>Gerente de projetos (Engenheiro ou Arquiteto Sênior) - Ref. 40938 Sinapi - mensalista</v>
      </c>
      <c r="E56" s="44" t="s">
        <v>109</v>
      </c>
      <c r="F56" s="124">
        <v>0.4</v>
      </c>
      <c r="G56" s="65">
        <f t="shared" ref="G56:G61" si="19">VLOOKUP(C56,$C$110:$H$121,6,FALSE)</f>
        <v>57.82</v>
      </c>
      <c r="H56" s="65">
        <f t="shared" ref="H56" si="20">F56*G56</f>
        <v>23.128</v>
      </c>
      <c r="K56" s="148">
        <f t="shared" ref="K56:K61" si="21">F56*$F$55</f>
        <v>200</v>
      </c>
      <c r="L56" s="150">
        <f t="shared" ref="L56:L64" si="22">ROUND(G56*K56,2)</f>
        <v>11564</v>
      </c>
      <c r="M56" s="149"/>
    </row>
    <row r="57" spans="2:13" s="16" customFormat="1">
      <c r="B57" s="32"/>
      <c r="C57" s="44" t="s">
        <v>195</v>
      </c>
      <c r="D57" s="33" t="str">
        <f>VLOOKUP(C57,C113:H125,2,FALSE)</f>
        <v>Engenheiro Pleno (Civil) Ref. 40937 Sinapi - mensalista</v>
      </c>
      <c r="E57" s="44" t="s">
        <v>109</v>
      </c>
      <c r="F57" s="124">
        <v>0.6</v>
      </c>
      <c r="G57" s="65">
        <f t="shared" si="19"/>
        <v>42.19</v>
      </c>
      <c r="H57" s="65">
        <f t="shared" ref="H57:H59" si="23">F57*G57</f>
        <v>25.313999999999997</v>
      </c>
      <c r="I57"/>
      <c r="J57"/>
      <c r="K57" s="148">
        <f t="shared" ref="K57:K60" si="24">F57*$F$55</f>
        <v>300</v>
      </c>
      <c r="L57" s="150">
        <f t="shared" si="22"/>
        <v>12657</v>
      </c>
      <c r="M57" s="149"/>
    </row>
    <row r="58" spans="2:13" s="16" customFormat="1">
      <c r="B58" s="32"/>
      <c r="C58" s="44" t="s">
        <v>194</v>
      </c>
      <c r="D58" s="33" t="str">
        <f>VLOOKUP(C58,C114:H126,2,FALSE)</f>
        <v>Engenheiro Pleno (Elétrica) Ref. 40939 Sinapi - mensalista</v>
      </c>
      <c r="E58" s="44" t="s">
        <v>109</v>
      </c>
      <c r="F58" s="124">
        <v>0.3</v>
      </c>
      <c r="G58" s="65">
        <f t="shared" si="19"/>
        <v>36.86</v>
      </c>
      <c r="H58" s="65">
        <f t="shared" si="23"/>
        <v>11.058</v>
      </c>
      <c r="I58"/>
      <c r="J58"/>
      <c r="K58" s="148">
        <f t="shared" si="24"/>
        <v>150</v>
      </c>
      <c r="L58" s="150">
        <f t="shared" si="22"/>
        <v>5529</v>
      </c>
      <c r="M58" s="149"/>
    </row>
    <row r="59" spans="2:13" s="16" customFormat="1">
      <c r="B59" s="32"/>
      <c r="C59" s="44" t="s">
        <v>193</v>
      </c>
      <c r="D59" s="33" t="str">
        <f>VLOOKUP(C59,C115:H127,2,FALSE)</f>
        <v>Engenheiro Pleno (Mecânica) - Ref. 40939 Sinapi - mensalista</v>
      </c>
      <c r="E59" s="44" t="s">
        <v>109</v>
      </c>
      <c r="F59" s="124">
        <v>0.3</v>
      </c>
      <c r="G59" s="65">
        <f t="shared" si="19"/>
        <v>36.86</v>
      </c>
      <c r="H59" s="65">
        <f t="shared" si="23"/>
        <v>11.058</v>
      </c>
      <c r="I59"/>
      <c r="J59"/>
      <c r="K59" s="148">
        <f t="shared" si="24"/>
        <v>150</v>
      </c>
      <c r="L59" s="150">
        <f t="shared" si="22"/>
        <v>5529</v>
      </c>
      <c r="M59" s="149"/>
    </row>
    <row r="60" spans="2:13" s="16" customFormat="1">
      <c r="B60" s="32"/>
      <c r="C60" s="44" t="s">
        <v>216</v>
      </c>
      <c r="D60" s="33" t="str">
        <f>VLOOKUP(C60,C116:H128,2,FALSE)</f>
        <v>Desenhista auxiliar - Ref. 40808 - mensalista</v>
      </c>
      <c r="E60" s="44" t="s">
        <v>109</v>
      </c>
      <c r="F60" s="124">
        <v>1</v>
      </c>
      <c r="G60" s="65">
        <f t="shared" si="19"/>
        <v>7.28</v>
      </c>
      <c r="H60" s="65">
        <f t="shared" ref="H60" si="25">F60*G60</f>
        <v>7.28</v>
      </c>
      <c r="K60" s="148">
        <f t="shared" si="24"/>
        <v>500</v>
      </c>
      <c r="L60" s="150">
        <f t="shared" si="22"/>
        <v>3640</v>
      </c>
      <c r="M60" s="149"/>
    </row>
    <row r="61" spans="2:13" s="16" customFormat="1">
      <c r="B61" s="32"/>
      <c r="C61" s="44" t="s">
        <v>192</v>
      </c>
      <c r="D61" s="33" t="str">
        <f>VLOOKUP(C61,C116:H128,2,FALSE)</f>
        <v>Desenhista/Cadista - Ref. 40807 - mensalista</v>
      </c>
      <c r="E61" s="44" t="s">
        <v>109</v>
      </c>
      <c r="F61" s="124">
        <v>1</v>
      </c>
      <c r="G61" s="65">
        <f t="shared" si="19"/>
        <v>7.09</v>
      </c>
      <c r="H61" s="65">
        <f t="shared" ref="H61" si="26">F61*G61</f>
        <v>7.09</v>
      </c>
      <c r="I61"/>
      <c r="J61"/>
      <c r="K61" s="148">
        <f t="shared" si="21"/>
        <v>500</v>
      </c>
      <c r="L61" s="150">
        <f t="shared" si="22"/>
        <v>3545</v>
      </c>
      <c r="M61" s="149"/>
    </row>
    <row r="62" spans="2:13" s="16" customFormat="1">
      <c r="B62" s="131"/>
      <c r="C62" s="132" t="s">
        <v>113</v>
      </c>
      <c r="D62" s="138" t="s">
        <v>119</v>
      </c>
      <c r="E62" s="132" t="s">
        <v>2</v>
      </c>
      <c r="F62" s="133">
        <f>FatorK1</f>
        <v>0.73510000000000009</v>
      </c>
      <c r="G62" s="134">
        <f>SUM(H56:H61)*F62</f>
        <v>62.430572800000007</v>
      </c>
      <c r="H62" s="134">
        <f>1*G62</f>
        <v>62.430572800000007</v>
      </c>
      <c r="I62"/>
      <c r="J62"/>
      <c r="K62" s="148">
        <f>$F$55</f>
        <v>500</v>
      </c>
      <c r="L62" s="150">
        <f t="shared" si="22"/>
        <v>31215.29</v>
      </c>
      <c r="M62" s="149"/>
    </row>
    <row r="63" spans="2:13" s="16" customFormat="1" ht="30">
      <c r="B63" s="131"/>
      <c r="C63" s="132" t="s">
        <v>114</v>
      </c>
      <c r="D63" s="135" t="s">
        <v>117</v>
      </c>
      <c r="E63" s="132" t="s">
        <v>2</v>
      </c>
      <c r="F63" s="133">
        <f>FatorK2</f>
        <v>9.9999999999999992E-2</v>
      </c>
      <c r="G63" s="136">
        <f>F63*SUM(H56:H61)</f>
        <v>8.492799999999999</v>
      </c>
      <c r="H63" s="134">
        <f>G63</f>
        <v>8.492799999999999</v>
      </c>
      <c r="I63"/>
      <c r="J63"/>
      <c r="K63" s="148">
        <f>$F$55</f>
        <v>500</v>
      </c>
      <c r="L63" s="150">
        <f t="shared" si="22"/>
        <v>4246.3999999999996</v>
      </c>
      <c r="M63" s="149"/>
    </row>
    <row r="64" spans="2:13" s="16" customFormat="1" ht="30">
      <c r="B64" s="32"/>
      <c r="C64" s="44" t="s">
        <v>128</v>
      </c>
      <c r="D64" s="33" t="s">
        <v>126</v>
      </c>
      <c r="E64" s="44" t="s">
        <v>109</v>
      </c>
      <c r="F64" s="34">
        <f>SUM(F56:F61)</f>
        <v>3.6</v>
      </c>
      <c r="G64" s="65">
        <f>'B4d-EC'!$E$11</f>
        <v>2.34</v>
      </c>
      <c r="H64" s="65">
        <f>F64*G64</f>
        <v>8.4239999999999995</v>
      </c>
      <c r="I64"/>
      <c r="J64"/>
      <c r="K64" s="148">
        <f t="shared" ref="K64" si="27">F64*$F$55</f>
        <v>1800</v>
      </c>
      <c r="L64" s="150">
        <f t="shared" si="22"/>
        <v>4212</v>
      </c>
      <c r="M64" s="149"/>
    </row>
    <row r="65" spans="2:13" s="16" customFormat="1">
      <c r="B65" s="170" t="s">
        <v>112</v>
      </c>
      <c r="C65" s="170"/>
      <c r="D65" s="170"/>
      <c r="E65" s="170"/>
      <c r="F65" s="170"/>
      <c r="G65" s="170"/>
      <c r="H65" s="66">
        <f>SUM(H56:H64)</f>
        <v>164.27537279999999</v>
      </c>
      <c r="I65"/>
      <c r="J65"/>
      <c r="K65" s="148"/>
      <c r="L65" s="152"/>
      <c r="M65" s="149"/>
    </row>
    <row r="66" spans="2:13" s="16" customFormat="1">
      <c r="B66" s="131"/>
      <c r="C66" s="132" t="s">
        <v>115</v>
      </c>
      <c r="D66" s="131" t="s">
        <v>118</v>
      </c>
      <c r="E66" s="132" t="s">
        <v>2</v>
      </c>
      <c r="F66" s="137">
        <f>FatorK3</f>
        <v>0.08</v>
      </c>
      <c r="G66" s="136">
        <f>H65*F66</f>
        <v>13.142029824</v>
      </c>
      <c r="H66" s="134">
        <f>G66</f>
        <v>13.142029824</v>
      </c>
      <c r="I66"/>
      <c r="J66"/>
      <c r="K66" s="148">
        <f>$F$55</f>
        <v>500</v>
      </c>
      <c r="L66" s="150">
        <f t="shared" ref="L66:L67" si="28">ROUND(G66*K66,2)</f>
        <v>6571.01</v>
      </c>
      <c r="M66" s="149"/>
    </row>
    <row r="67" spans="2:13" s="16" customFormat="1">
      <c r="B67" s="131"/>
      <c r="C67" s="132" t="s">
        <v>116</v>
      </c>
      <c r="D67" s="131" t="s">
        <v>198</v>
      </c>
      <c r="E67" s="132" t="s">
        <v>2</v>
      </c>
      <c r="F67" s="133">
        <f>FatorK4</f>
        <v>0.14155251141552516</v>
      </c>
      <c r="G67" s="136">
        <f>F67*(H65+H66)</f>
        <v>25.11387891024658</v>
      </c>
      <c r="H67" s="134">
        <f>G67</f>
        <v>25.11387891024658</v>
      </c>
      <c r="I67"/>
      <c r="J67"/>
      <c r="K67" s="148">
        <f>$F$55</f>
        <v>500</v>
      </c>
      <c r="L67" s="150">
        <f t="shared" si="28"/>
        <v>12556.94</v>
      </c>
      <c r="M67" s="149"/>
    </row>
    <row r="68" spans="2:13" s="16" customFormat="1">
      <c r="B68" s="169" t="s">
        <v>111</v>
      </c>
      <c r="C68" s="169"/>
      <c r="D68" s="169"/>
      <c r="E68" s="169"/>
      <c r="F68" s="169"/>
      <c r="G68" s="169"/>
      <c r="H68" s="50">
        <f>SUM(H65:H67)</f>
        <v>202.53128153424655</v>
      </c>
      <c r="I68"/>
      <c r="J68"/>
      <c r="K68" s="148"/>
      <c r="L68" s="147" t="s">
        <v>221</v>
      </c>
      <c r="M68" s="151">
        <f>SUM(L56:L67)</f>
        <v>101265.64</v>
      </c>
    </row>
    <row r="69" spans="2:13" s="16" customFormat="1">
      <c r="B69" s="141"/>
      <c r="C69" s="141"/>
      <c r="D69" s="141"/>
      <c r="E69" s="141"/>
      <c r="F69" s="141"/>
      <c r="G69" s="141"/>
      <c r="H69" s="142"/>
      <c r="K69" s="148"/>
      <c r="L69" s="152"/>
      <c r="M69" s="151"/>
    </row>
    <row r="70" spans="2:13" s="16" customFormat="1" ht="30">
      <c r="B70" s="54">
        <v>6</v>
      </c>
      <c r="C70" s="54"/>
      <c r="D70" s="77" t="s">
        <v>248</v>
      </c>
      <c r="E70" s="54" t="s">
        <v>227</v>
      </c>
      <c r="F70" s="78">
        <f>'B1-Sintético'!$E$13</f>
        <v>100</v>
      </c>
      <c r="G70" s="82">
        <f>H79</f>
        <v>123.53049246575344</v>
      </c>
      <c r="H70" s="79">
        <f>F70*G70</f>
        <v>12353.049246575343</v>
      </c>
      <c r="K70" s="148"/>
      <c r="L70" s="147"/>
      <c r="M70" s="149"/>
    </row>
    <row r="71" spans="2:13" s="16" customFormat="1">
      <c r="B71" s="32"/>
      <c r="C71" s="44" t="s">
        <v>195</v>
      </c>
      <c r="D71" s="33" t="str">
        <f>VLOOKUP(C71,TAB_INSUMOS,2,FALSE)</f>
        <v>Engenheiro Pleno (Civil) Ref. 40937 Sinapi - mensalista</v>
      </c>
      <c r="E71" s="44" t="s">
        <v>109</v>
      </c>
      <c r="F71" s="124">
        <v>1</v>
      </c>
      <c r="G71" s="65">
        <f>VLOOKUP(C71,TAB_INSUMOS,6,FALSE)</f>
        <v>42.19</v>
      </c>
      <c r="H71" s="65">
        <f t="shared" ref="H71" si="29">F71*G71</f>
        <v>42.19</v>
      </c>
      <c r="K71" s="148">
        <f>$F$70*F71</f>
        <v>100</v>
      </c>
      <c r="L71" s="150">
        <f t="shared" ref="L71:L75" si="30">ROUND(G71*K71,2)</f>
        <v>4219</v>
      </c>
      <c r="M71" s="149"/>
    </row>
    <row r="72" spans="2:13" s="16" customFormat="1">
      <c r="B72" s="32"/>
      <c r="C72" s="44" t="s">
        <v>215</v>
      </c>
      <c r="D72" s="33" t="str">
        <f>VLOOKUP(C72,TAB_INSUMOS,2,FALSE)</f>
        <v>Auxiliar técnico de engenharia - Ref. 40931 - mensalista</v>
      </c>
      <c r="E72" s="44" t="s">
        <v>109</v>
      </c>
      <c r="F72" s="124">
        <v>1</v>
      </c>
      <c r="G72" s="65">
        <f>VLOOKUP(C72,TAB_INSUMOS,6,FALSE)</f>
        <v>9.86</v>
      </c>
      <c r="H72" s="65">
        <f t="shared" ref="H72" si="31">F72*G72</f>
        <v>9.86</v>
      </c>
      <c r="K72" s="148">
        <f>$F$70*F72</f>
        <v>100</v>
      </c>
      <c r="L72" s="150">
        <f t="shared" si="30"/>
        <v>986</v>
      </c>
      <c r="M72" s="149"/>
    </row>
    <row r="73" spans="2:13" s="16" customFormat="1">
      <c r="B73" s="131"/>
      <c r="C73" s="132" t="s">
        <v>113</v>
      </c>
      <c r="D73" s="138" t="s">
        <v>119</v>
      </c>
      <c r="E73" s="132" t="s">
        <v>2</v>
      </c>
      <c r="F73" s="133">
        <f>FatorK1</f>
        <v>0.73510000000000009</v>
      </c>
      <c r="G73" s="134">
        <f>SUM(H71:H72)*F73</f>
        <v>38.261955</v>
      </c>
      <c r="H73" s="134">
        <f>1*G73</f>
        <v>38.261955</v>
      </c>
      <c r="K73" s="148">
        <f>$F$70</f>
        <v>100</v>
      </c>
      <c r="L73" s="150">
        <f t="shared" si="30"/>
        <v>3826.2</v>
      </c>
      <c r="M73" s="149"/>
    </row>
    <row r="74" spans="2:13" s="16" customFormat="1" ht="30">
      <c r="B74" s="131"/>
      <c r="C74" s="132" t="s">
        <v>114</v>
      </c>
      <c r="D74" s="135" t="s">
        <v>117</v>
      </c>
      <c r="E74" s="132" t="s">
        <v>2</v>
      </c>
      <c r="F74" s="133">
        <f>FatorK2</f>
        <v>9.9999999999999992E-2</v>
      </c>
      <c r="G74" s="136">
        <f>F74*SUM(H71:H72)</f>
        <v>5.2049999999999992</v>
      </c>
      <c r="H74" s="134">
        <f>G74</f>
        <v>5.2049999999999992</v>
      </c>
      <c r="K74" s="148">
        <f>$F$70</f>
        <v>100</v>
      </c>
      <c r="L74" s="150">
        <f t="shared" si="30"/>
        <v>520.5</v>
      </c>
      <c r="M74" s="149"/>
    </row>
    <row r="75" spans="2:13" s="16" customFormat="1" ht="30">
      <c r="B75" s="32"/>
      <c r="C75" s="44" t="s">
        <v>128</v>
      </c>
      <c r="D75" s="33" t="s">
        <v>126</v>
      </c>
      <c r="E75" s="44" t="s">
        <v>109</v>
      </c>
      <c r="F75" s="34">
        <f>SUM(F71:F72)</f>
        <v>2</v>
      </c>
      <c r="G75" s="65">
        <f>'B4d-EC'!$E$11</f>
        <v>2.34</v>
      </c>
      <c r="H75" s="65">
        <f>F75*G75</f>
        <v>4.68</v>
      </c>
      <c r="K75" s="148">
        <f>$F$70*F75</f>
        <v>200</v>
      </c>
      <c r="L75" s="150">
        <f t="shared" si="30"/>
        <v>468</v>
      </c>
      <c r="M75" s="149"/>
    </row>
    <row r="76" spans="2:13" s="16" customFormat="1">
      <c r="B76" s="170" t="s">
        <v>112</v>
      </c>
      <c r="C76" s="170"/>
      <c r="D76" s="170"/>
      <c r="E76" s="170"/>
      <c r="F76" s="170"/>
      <c r="G76" s="170"/>
      <c r="H76" s="66">
        <f>SUM(H71:H75)</f>
        <v>100.196955</v>
      </c>
      <c r="K76" s="148"/>
      <c r="L76" s="147"/>
      <c r="M76" s="149"/>
    </row>
    <row r="77" spans="2:13" s="16" customFormat="1">
      <c r="B77" s="131"/>
      <c r="C77" s="132" t="s">
        <v>115</v>
      </c>
      <c r="D77" s="131" t="s">
        <v>118</v>
      </c>
      <c r="E77" s="132" t="s">
        <v>2</v>
      </c>
      <c r="F77" s="137">
        <f>FatorK3</f>
        <v>0.08</v>
      </c>
      <c r="G77" s="136">
        <f>H76*F77</f>
        <v>8.0157564000000008</v>
      </c>
      <c r="H77" s="134">
        <f>G77</f>
        <v>8.0157564000000008</v>
      </c>
      <c r="K77" s="148">
        <f>$F$70</f>
        <v>100</v>
      </c>
      <c r="L77" s="150">
        <f t="shared" ref="L77:L78" si="32">ROUND(G77*K77,2)</f>
        <v>801.58</v>
      </c>
      <c r="M77" s="149"/>
    </row>
    <row r="78" spans="2:13" s="16" customFormat="1">
      <c r="B78" s="131"/>
      <c r="C78" s="132" t="s">
        <v>116</v>
      </c>
      <c r="D78" s="131" t="s">
        <v>198</v>
      </c>
      <c r="E78" s="132" t="s">
        <v>2</v>
      </c>
      <c r="F78" s="133">
        <f>FatorK4</f>
        <v>0.14155251141552516</v>
      </c>
      <c r="G78" s="136">
        <f>F78*(H76+H77)</f>
        <v>15.317781065753429</v>
      </c>
      <c r="H78" s="134">
        <f>G78</f>
        <v>15.317781065753429</v>
      </c>
      <c r="K78" s="148">
        <f>$F$70</f>
        <v>100</v>
      </c>
      <c r="L78" s="150">
        <f t="shared" si="32"/>
        <v>1531.78</v>
      </c>
      <c r="M78" s="149"/>
    </row>
    <row r="79" spans="2:13" s="16" customFormat="1">
      <c r="B79" s="169" t="s">
        <v>111</v>
      </c>
      <c r="C79" s="169"/>
      <c r="D79" s="169"/>
      <c r="E79" s="169"/>
      <c r="F79" s="169"/>
      <c r="G79" s="169"/>
      <c r="H79" s="50">
        <f>SUM(H76:H78)</f>
        <v>123.53049246575344</v>
      </c>
      <c r="K79" s="148"/>
      <c r="L79" s="147" t="s">
        <v>221</v>
      </c>
      <c r="M79" s="151">
        <f>SUM(L71:L78)</f>
        <v>12353.060000000001</v>
      </c>
    </row>
    <row r="80" spans="2:13" s="16" customFormat="1">
      <c r="B80" s="141"/>
      <c r="C80" s="141"/>
      <c r="D80" s="141"/>
      <c r="E80" s="141"/>
      <c r="F80" s="141"/>
      <c r="G80" s="141"/>
      <c r="H80" s="142"/>
      <c r="K80" s="148"/>
      <c r="L80" s="152"/>
      <c r="M80" s="151"/>
    </row>
    <row r="81" spans="2:13" s="16" customFormat="1" ht="30">
      <c r="B81" s="54">
        <v>7</v>
      </c>
      <c r="C81" s="54"/>
      <c r="D81" s="77" t="s">
        <v>249</v>
      </c>
      <c r="E81" s="54" t="s">
        <v>227</v>
      </c>
      <c r="F81" s="78">
        <f>'B1-Sintético'!$E$14</f>
        <v>100</v>
      </c>
      <c r="G81" s="82">
        <f>H90</f>
        <v>184.08532684931504</v>
      </c>
      <c r="H81" s="79">
        <f>F81*G81</f>
        <v>18408.532684931502</v>
      </c>
      <c r="K81" s="148"/>
      <c r="L81" s="147"/>
      <c r="M81" s="149"/>
    </row>
    <row r="82" spans="2:13" s="16" customFormat="1" ht="45">
      <c r="B82" s="32"/>
      <c r="C82" s="44" t="s">
        <v>231</v>
      </c>
      <c r="D82" s="33" t="str">
        <f>VLOOKUP(C82,$C$110:$H$121,2,FALSE)</f>
        <v>Consultor de projetos estruturais (Engenheiro com especialização ou mestrado em estruturas) - ref. 40938 sinapi - mensalista</v>
      </c>
      <c r="E82" s="44" t="s">
        <v>109</v>
      </c>
      <c r="F82" s="124">
        <v>1</v>
      </c>
      <c r="G82" s="65">
        <f t="shared" ref="G82" si="33">VLOOKUP(C82,$C$110:$H$121,6,FALSE)</f>
        <v>57.82</v>
      </c>
      <c r="H82" s="65">
        <f t="shared" ref="H82" si="34">F82*G82</f>
        <v>57.82</v>
      </c>
      <c r="K82" s="148">
        <f>$F$81*F82</f>
        <v>100</v>
      </c>
      <c r="L82" s="150">
        <f t="shared" ref="L82:L86" si="35">ROUND(G82*K82,2)</f>
        <v>5782</v>
      </c>
      <c r="M82" s="149"/>
    </row>
    <row r="83" spans="2:13" s="16" customFormat="1">
      <c r="B83" s="32"/>
      <c r="C83" s="44" t="s">
        <v>215</v>
      </c>
      <c r="D83" s="33" t="str">
        <f>VLOOKUP(C83,TAB_INSUMOS,2,FALSE)</f>
        <v>Auxiliar técnico de engenharia - Ref. 40931 - mensalista</v>
      </c>
      <c r="E83" s="44" t="s">
        <v>109</v>
      </c>
      <c r="F83" s="124">
        <v>2</v>
      </c>
      <c r="G83" s="65">
        <f>VLOOKUP(C83,TAB_INSUMOS,6,FALSE)</f>
        <v>9.86</v>
      </c>
      <c r="H83" s="65">
        <f t="shared" ref="H83" si="36">F83*G83</f>
        <v>19.72</v>
      </c>
      <c r="K83" s="148">
        <f>$F$81*F83</f>
        <v>200</v>
      </c>
      <c r="L83" s="150">
        <f t="shared" si="35"/>
        <v>1972</v>
      </c>
      <c r="M83" s="149"/>
    </row>
    <row r="84" spans="2:13" s="16" customFormat="1">
      <c r="B84" s="131"/>
      <c r="C84" s="132" t="s">
        <v>113</v>
      </c>
      <c r="D84" s="138" t="s">
        <v>119</v>
      </c>
      <c r="E84" s="132" t="s">
        <v>2</v>
      </c>
      <c r="F84" s="133">
        <f>FatorK1</f>
        <v>0.73510000000000009</v>
      </c>
      <c r="G84" s="134">
        <f>SUM(H82:H83)*F84</f>
        <v>56.999654</v>
      </c>
      <c r="H84" s="134">
        <f>1*G84</f>
        <v>56.999654</v>
      </c>
      <c r="K84" s="148">
        <f>$F$81</f>
        <v>100</v>
      </c>
      <c r="L84" s="150">
        <f t="shared" si="35"/>
        <v>5699.97</v>
      </c>
      <c r="M84" s="149"/>
    </row>
    <row r="85" spans="2:13" s="16" customFormat="1" ht="30">
      <c r="B85" s="131"/>
      <c r="C85" s="132" t="s">
        <v>114</v>
      </c>
      <c r="D85" s="135" t="s">
        <v>117</v>
      </c>
      <c r="E85" s="132" t="s">
        <v>2</v>
      </c>
      <c r="F85" s="133">
        <f>FatorK2</f>
        <v>9.9999999999999992E-2</v>
      </c>
      <c r="G85" s="136">
        <f>F85*SUM(H82:H83)</f>
        <v>7.7539999999999987</v>
      </c>
      <c r="H85" s="134">
        <f>G85</f>
        <v>7.7539999999999987</v>
      </c>
      <c r="K85" s="148">
        <f>$F$81</f>
        <v>100</v>
      </c>
      <c r="L85" s="150">
        <f t="shared" si="35"/>
        <v>775.4</v>
      </c>
      <c r="M85" s="149"/>
    </row>
    <row r="86" spans="2:13" s="16" customFormat="1" ht="30">
      <c r="B86" s="32"/>
      <c r="C86" s="44" t="s">
        <v>128</v>
      </c>
      <c r="D86" s="33" t="s">
        <v>126</v>
      </c>
      <c r="E86" s="44" t="s">
        <v>109</v>
      </c>
      <c r="F86" s="34">
        <f>SUM(F82:F83)</f>
        <v>3</v>
      </c>
      <c r="G86" s="65">
        <f>'B4d-EC'!$E$11</f>
        <v>2.34</v>
      </c>
      <c r="H86" s="65">
        <f>F86*G86</f>
        <v>7.02</v>
      </c>
      <c r="K86" s="148">
        <f>$F$81*F86</f>
        <v>300</v>
      </c>
      <c r="L86" s="150">
        <f t="shared" si="35"/>
        <v>702</v>
      </c>
      <c r="M86" s="149"/>
    </row>
    <row r="87" spans="2:13" s="16" customFormat="1">
      <c r="B87" s="170" t="s">
        <v>112</v>
      </c>
      <c r="C87" s="170"/>
      <c r="D87" s="170"/>
      <c r="E87" s="170"/>
      <c r="F87" s="170"/>
      <c r="G87" s="170"/>
      <c r="H87" s="66">
        <f>SUM(H82:H86)</f>
        <v>149.31365399999999</v>
      </c>
      <c r="K87" s="148"/>
      <c r="L87" s="147"/>
      <c r="M87" s="149"/>
    </row>
    <row r="88" spans="2:13" s="16" customFormat="1">
      <c r="B88" s="131"/>
      <c r="C88" s="132" t="s">
        <v>115</v>
      </c>
      <c r="D88" s="131" t="s">
        <v>118</v>
      </c>
      <c r="E88" s="132" t="s">
        <v>2</v>
      </c>
      <c r="F88" s="137">
        <f>FatorK3</f>
        <v>0.08</v>
      </c>
      <c r="G88" s="136">
        <f>H87*F88</f>
        <v>11.945092319999999</v>
      </c>
      <c r="H88" s="134">
        <f>G88</f>
        <v>11.945092319999999</v>
      </c>
      <c r="K88" s="148">
        <f>$F$81</f>
        <v>100</v>
      </c>
      <c r="L88" s="150">
        <f t="shared" ref="L88:L89" si="37">ROUND(G88*K88,2)</f>
        <v>1194.51</v>
      </c>
      <c r="M88" s="149"/>
    </row>
    <row r="89" spans="2:13" s="16" customFormat="1">
      <c r="B89" s="131"/>
      <c r="C89" s="132" t="s">
        <v>116</v>
      </c>
      <c r="D89" s="131" t="s">
        <v>198</v>
      </c>
      <c r="E89" s="132" t="s">
        <v>2</v>
      </c>
      <c r="F89" s="133">
        <f>FatorK4</f>
        <v>0.14155251141552516</v>
      </c>
      <c r="G89" s="136">
        <f>F89*(H87+H88)</f>
        <v>22.826580529315073</v>
      </c>
      <c r="H89" s="134">
        <f>G89</f>
        <v>22.826580529315073</v>
      </c>
      <c r="K89" s="148">
        <f>$F$81</f>
        <v>100</v>
      </c>
      <c r="L89" s="150">
        <f t="shared" si="37"/>
        <v>2282.66</v>
      </c>
      <c r="M89" s="149"/>
    </row>
    <row r="90" spans="2:13" s="16" customFormat="1">
      <c r="B90" s="169" t="s">
        <v>111</v>
      </c>
      <c r="C90" s="169"/>
      <c r="D90" s="169"/>
      <c r="E90" s="169"/>
      <c r="F90" s="169"/>
      <c r="G90" s="169"/>
      <c r="H90" s="50">
        <f>SUM(H87:H89)</f>
        <v>184.08532684931504</v>
      </c>
      <c r="K90" s="148"/>
      <c r="L90" s="147" t="s">
        <v>221</v>
      </c>
      <c r="M90" s="151">
        <f>SUM(L82:L89)</f>
        <v>18408.54</v>
      </c>
    </row>
    <row r="91" spans="2:13" s="16" customFormat="1">
      <c r="B91" s="141"/>
      <c r="C91" s="141"/>
      <c r="D91" s="141"/>
      <c r="E91" s="141"/>
      <c r="F91" s="141"/>
      <c r="G91" s="141"/>
      <c r="H91" s="142"/>
      <c r="K91" s="148"/>
      <c r="L91" s="152"/>
      <c r="M91" s="151"/>
    </row>
    <row r="92" spans="2:13" s="16" customFormat="1" ht="30">
      <c r="B92" s="54">
        <v>8</v>
      </c>
      <c r="C92" s="54"/>
      <c r="D92" s="77" t="s">
        <v>250</v>
      </c>
      <c r="E92" s="54" t="s">
        <v>227</v>
      </c>
      <c r="F92" s="78">
        <f>'B1-Sintético'!$E$15</f>
        <v>300</v>
      </c>
      <c r="G92" s="82">
        <f>H102</f>
        <v>187.43436616438356</v>
      </c>
      <c r="H92" s="79">
        <f>F92*G92</f>
        <v>56230.309849315068</v>
      </c>
      <c r="K92" s="148"/>
      <c r="L92" s="147"/>
      <c r="M92" s="149"/>
    </row>
    <row r="93" spans="2:13" s="16" customFormat="1">
      <c r="B93" s="32"/>
      <c r="C93" s="44" t="s">
        <v>195</v>
      </c>
      <c r="D93" s="33" t="str">
        <f>VLOOKUP(C93,TAB_INSUMOS,2,FALSE)</f>
        <v>Engenheiro Pleno (Civil) Ref. 40937 Sinapi - mensalista</v>
      </c>
      <c r="E93" s="44" t="s">
        <v>109</v>
      </c>
      <c r="F93" s="124">
        <v>1</v>
      </c>
      <c r="G93" s="65">
        <f>VLOOKUP(C93,TAB_INSUMOS,6,FALSE)</f>
        <v>42.19</v>
      </c>
      <c r="H93" s="65">
        <f t="shared" ref="H93" si="38">F93*G93</f>
        <v>42.19</v>
      </c>
      <c r="K93" s="148">
        <f>$F$92*F93</f>
        <v>300</v>
      </c>
      <c r="L93" s="150">
        <f t="shared" ref="L93:L98" si="39">ROUND(G93*K93,2)</f>
        <v>12657</v>
      </c>
      <c r="M93" s="149"/>
    </row>
    <row r="94" spans="2:13" s="16" customFormat="1">
      <c r="B94" s="32"/>
      <c r="C94" s="44" t="s">
        <v>215</v>
      </c>
      <c r="D94" s="33" t="str">
        <f>VLOOKUP(C94,TAB_INSUMOS,2,FALSE)</f>
        <v>Auxiliar técnico de engenharia - Ref. 40931 - mensalista</v>
      </c>
      <c r="E94" s="44" t="s">
        <v>109</v>
      </c>
      <c r="F94" s="124">
        <v>2</v>
      </c>
      <c r="G94" s="65">
        <f>VLOOKUP(C94,TAB_INSUMOS,6,FALSE)</f>
        <v>9.86</v>
      </c>
      <c r="H94" s="65">
        <f t="shared" ref="H94:H95" si="40">F94*G94</f>
        <v>19.72</v>
      </c>
      <c r="K94" s="148">
        <f>$F$92*F94</f>
        <v>600</v>
      </c>
      <c r="L94" s="150">
        <f t="shared" si="39"/>
        <v>5916</v>
      </c>
      <c r="M94" s="149"/>
    </row>
    <row r="95" spans="2:13" s="16" customFormat="1">
      <c r="B95" s="32"/>
      <c r="C95" s="44" t="s">
        <v>216</v>
      </c>
      <c r="D95" s="33" t="str">
        <f>VLOOKUP(C95,TAB_INSUMOS,2,FALSE)</f>
        <v>Desenhista auxiliar - Ref. 40808 - mensalista</v>
      </c>
      <c r="E95" s="44" t="s">
        <v>109</v>
      </c>
      <c r="F95" s="124">
        <v>2</v>
      </c>
      <c r="G95" s="65">
        <f>VLOOKUP(C95,TAB_INSUMOS,6,FALSE)</f>
        <v>7.28</v>
      </c>
      <c r="H95" s="65">
        <f t="shared" si="40"/>
        <v>14.56</v>
      </c>
      <c r="K95" s="148">
        <f>$F$92*F95</f>
        <v>600</v>
      </c>
      <c r="L95" s="150">
        <f t="shared" si="39"/>
        <v>4368</v>
      </c>
      <c r="M95" s="149"/>
    </row>
    <row r="96" spans="2:13" s="16" customFormat="1">
      <c r="B96" s="131"/>
      <c r="C96" s="132" t="s">
        <v>113</v>
      </c>
      <c r="D96" s="138" t="s">
        <v>119</v>
      </c>
      <c r="E96" s="132" t="s">
        <v>2</v>
      </c>
      <c r="F96" s="133">
        <f>FatorK1</f>
        <v>0.73510000000000009</v>
      </c>
      <c r="G96" s="134">
        <f>SUM(H93:H95)*F96</f>
        <v>56.213097000000005</v>
      </c>
      <c r="H96" s="134">
        <f>1*G96</f>
        <v>56.213097000000005</v>
      </c>
      <c r="K96" s="148">
        <f>$F$92</f>
        <v>300</v>
      </c>
      <c r="L96" s="150">
        <f t="shared" si="39"/>
        <v>16863.93</v>
      </c>
      <c r="M96" s="149"/>
    </row>
    <row r="97" spans="2:13" s="16" customFormat="1" ht="30">
      <c r="B97" s="131"/>
      <c r="C97" s="132" t="s">
        <v>114</v>
      </c>
      <c r="D97" s="135" t="s">
        <v>117</v>
      </c>
      <c r="E97" s="132" t="s">
        <v>2</v>
      </c>
      <c r="F97" s="133">
        <f>FatorK2</f>
        <v>9.9999999999999992E-2</v>
      </c>
      <c r="G97" s="136">
        <f>F97*SUM(H93:H95)</f>
        <v>7.6469999999999994</v>
      </c>
      <c r="H97" s="134">
        <f>G97</f>
        <v>7.6469999999999994</v>
      </c>
      <c r="K97" s="148">
        <f>$F$92</f>
        <v>300</v>
      </c>
      <c r="L97" s="150">
        <f t="shared" si="39"/>
        <v>2294.1</v>
      </c>
      <c r="M97" s="149"/>
    </row>
    <row r="98" spans="2:13" s="16" customFormat="1" ht="30">
      <c r="B98" s="32"/>
      <c r="C98" s="44" t="s">
        <v>128</v>
      </c>
      <c r="D98" s="33" t="s">
        <v>126</v>
      </c>
      <c r="E98" s="44" t="s">
        <v>109</v>
      </c>
      <c r="F98" s="34">
        <f>SUM(F93:F95)</f>
        <v>5</v>
      </c>
      <c r="G98" s="65">
        <f>'B4d-EC'!$E$11</f>
        <v>2.34</v>
      </c>
      <c r="H98" s="65">
        <f>F98*G98</f>
        <v>11.7</v>
      </c>
      <c r="K98" s="148">
        <f>$F$92*F98</f>
        <v>1500</v>
      </c>
      <c r="L98" s="150">
        <f t="shared" si="39"/>
        <v>3510</v>
      </c>
      <c r="M98" s="149"/>
    </row>
    <row r="99" spans="2:13" s="16" customFormat="1">
      <c r="B99" s="170" t="s">
        <v>112</v>
      </c>
      <c r="C99" s="170"/>
      <c r="D99" s="170"/>
      <c r="E99" s="170"/>
      <c r="F99" s="170"/>
      <c r="G99" s="170"/>
      <c r="H99" s="66">
        <f>SUM(H93:H98)</f>
        <v>152.03009699999998</v>
      </c>
      <c r="K99" s="148"/>
      <c r="L99" s="147"/>
      <c r="M99" s="149"/>
    </row>
    <row r="100" spans="2:13" s="16" customFormat="1">
      <c r="B100" s="131"/>
      <c r="C100" s="132" t="s">
        <v>115</v>
      </c>
      <c r="D100" s="131" t="s">
        <v>118</v>
      </c>
      <c r="E100" s="132" t="s">
        <v>2</v>
      </c>
      <c r="F100" s="137">
        <f>FatorK3</f>
        <v>0.08</v>
      </c>
      <c r="G100" s="136">
        <f>H99*F100</f>
        <v>12.162407759999999</v>
      </c>
      <c r="H100" s="134">
        <f>G100</f>
        <v>12.162407759999999</v>
      </c>
      <c r="K100" s="148">
        <f>$F$92</f>
        <v>300</v>
      </c>
      <c r="L100" s="150">
        <f t="shared" ref="L100:L101" si="41">ROUND(G100*K100,2)</f>
        <v>3648.72</v>
      </c>
      <c r="M100" s="149"/>
    </row>
    <row r="101" spans="2:13" s="16" customFormat="1">
      <c r="B101" s="131"/>
      <c r="C101" s="132" t="s">
        <v>116</v>
      </c>
      <c r="D101" s="131" t="s">
        <v>198</v>
      </c>
      <c r="E101" s="132" t="s">
        <v>2</v>
      </c>
      <c r="F101" s="133">
        <f>FatorK4</f>
        <v>0.14155251141552516</v>
      </c>
      <c r="G101" s="136">
        <f>F101*(H99+H100)</f>
        <v>23.241861404383567</v>
      </c>
      <c r="H101" s="134">
        <f>G101</f>
        <v>23.241861404383567</v>
      </c>
      <c r="K101" s="148">
        <f>$F$92</f>
        <v>300</v>
      </c>
      <c r="L101" s="150">
        <f t="shared" si="41"/>
        <v>6972.56</v>
      </c>
      <c r="M101" s="149"/>
    </row>
    <row r="102" spans="2:13" s="16" customFormat="1">
      <c r="B102" s="169" t="s">
        <v>111</v>
      </c>
      <c r="C102" s="169"/>
      <c r="D102" s="169"/>
      <c r="E102" s="169"/>
      <c r="F102" s="169"/>
      <c r="G102" s="169"/>
      <c r="H102" s="50">
        <f>SUM(H99:H101)</f>
        <v>187.43436616438356</v>
      </c>
      <c r="K102" s="148"/>
      <c r="L102" s="147" t="s">
        <v>221</v>
      </c>
      <c r="M102" s="151">
        <f>SUM(L93:L102)</f>
        <v>56230.31</v>
      </c>
    </row>
    <row r="103" spans="2:13" s="16" customFormat="1">
      <c r="B103" s="141"/>
      <c r="C103" s="141"/>
      <c r="D103" s="141"/>
      <c r="E103" s="141"/>
      <c r="F103" s="141"/>
      <c r="G103" s="141"/>
      <c r="H103" s="142"/>
      <c r="K103" s="143"/>
      <c r="L103" s="139"/>
      <c r="M103" s="144"/>
    </row>
    <row r="104" spans="2:13" s="16" customFormat="1">
      <c r="B104" s="141"/>
      <c r="C104" s="141"/>
      <c r="D104" s="141"/>
      <c r="E104" s="141"/>
      <c r="F104" s="141"/>
      <c r="G104" s="141"/>
      <c r="H104" s="142"/>
      <c r="K104" s="143"/>
      <c r="L104" s="139"/>
      <c r="M104" s="144"/>
    </row>
    <row r="105" spans="2:13" s="16" customFormat="1">
      <c r="B105" s="141"/>
      <c r="C105" s="141"/>
      <c r="D105" s="141"/>
      <c r="E105" s="141"/>
      <c r="F105" s="141"/>
      <c r="G105" s="141"/>
      <c r="H105" s="142"/>
      <c r="K105" s="143"/>
      <c r="L105" s="139"/>
      <c r="M105" s="144">
        <f>SUM(M6:M102)</f>
        <v>349311.67</v>
      </c>
    </row>
    <row r="106" spans="2:13" ht="18.75">
      <c r="C106" s="17" t="s">
        <v>207</v>
      </c>
      <c r="M106"/>
    </row>
    <row r="107" spans="2:13">
      <c r="C107" s="162" t="s">
        <v>233</v>
      </c>
    </row>
    <row r="108" spans="2:13" s="16" customFormat="1">
      <c r="B108" s="11"/>
      <c r="C108" s="16" t="s">
        <v>251</v>
      </c>
      <c r="I108"/>
      <c r="J108"/>
      <c r="M108" s="80"/>
    </row>
    <row r="109" spans="2:13" s="16" customFormat="1">
      <c r="B109" s="11"/>
      <c r="I109"/>
      <c r="J109"/>
      <c r="M109" s="80"/>
    </row>
    <row r="110" spans="2:13" s="16" customFormat="1" ht="30">
      <c r="B110" s="11"/>
      <c r="C110" s="54" t="s">
        <v>18</v>
      </c>
      <c r="D110" s="54" t="s">
        <v>4</v>
      </c>
      <c r="E110" s="128" t="s">
        <v>197</v>
      </c>
      <c r="F110" s="128" t="s">
        <v>188</v>
      </c>
      <c r="G110" s="54" t="s">
        <v>190</v>
      </c>
      <c r="H110" s="128" t="s">
        <v>189</v>
      </c>
      <c r="I110"/>
      <c r="J110"/>
      <c r="M110" s="80"/>
    </row>
    <row r="111" spans="2:13" ht="30">
      <c r="C111" s="32" t="s">
        <v>196</v>
      </c>
      <c r="D111" s="33" t="s">
        <v>200</v>
      </c>
      <c r="E111" s="130">
        <v>22198.42</v>
      </c>
      <c r="F111" s="126">
        <v>0.74509999999999998</v>
      </c>
      <c r="G111" s="129">
        <v>220</v>
      </c>
      <c r="H111" s="127">
        <f>ROUND(E111/(1+F111)/G111,2)</f>
        <v>57.82</v>
      </c>
    </row>
    <row r="112" spans="2:13" s="16" customFormat="1" ht="45">
      <c r="C112" s="32" t="s">
        <v>231</v>
      </c>
      <c r="D112" s="33" t="s">
        <v>232</v>
      </c>
      <c r="E112" s="130">
        <v>22198.42</v>
      </c>
      <c r="F112" s="126">
        <v>0.74509999999999998</v>
      </c>
      <c r="G112" s="129">
        <v>220</v>
      </c>
      <c r="H112" s="127">
        <f>ROUND(E112/(1+F112)/G112,2)</f>
        <v>57.82</v>
      </c>
      <c r="M112" s="80"/>
    </row>
    <row r="113" spans="2:13">
      <c r="C113" s="32" t="s">
        <v>191</v>
      </c>
      <c r="D113" s="33" t="s">
        <v>205</v>
      </c>
      <c r="E113" s="130">
        <v>19588.5</v>
      </c>
      <c r="F113" s="126">
        <v>0.74509999999999998</v>
      </c>
      <c r="G113" s="129">
        <v>220</v>
      </c>
      <c r="H113" s="127">
        <f t="shared" ref="H113:H121" si="42">ROUND(E113/(1+F113)/G113,2)</f>
        <v>51.02</v>
      </c>
    </row>
    <row r="114" spans="2:13">
      <c r="C114" s="32" t="s">
        <v>195</v>
      </c>
      <c r="D114" s="33" t="s">
        <v>201</v>
      </c>
      <c r="E114" s="130">
        <v>16198.43</v>
      </c>
      <c r="F114" s="126">
        <v>0.74509999999999998</v>
      </c>
      <c r="G114" s="129">
        <v>220</v>
      </c>
      <c r="H114" s="127">
        <f t="shared" si="42"/>
        <v>42.19</v>
      </c>
    </row>
    <row r="115" spans="2:13">
      <c r="C115" s="32" t="s">
        <v>194</v>
      </c>
      <c r="D115" s="33" t="s">
        <v>202</v>
      </c>
      <c r="E115" s="130">
        <v>14151.36</v>
      </c>
      <c r="F115" s="126">
        <v>0.74509999999999998</v>
      </c>
      <c r="G115" s="129">
        <v>220</v>
      </c>
      <c r="H115" s="127">
        <f t="shared" si="42"/>
        <v>36.86</v>
      </c>
    </row>
    <row r="116" spans="2:13">
      <c r="C116" s="32" t="s">
        <v>193</v>
      </c>
      <c r="D116" s="33" t="s">
        <v>203</v>
      </c>
      <c r="E116" s="130">
        <v>14151.36</v>
      </c>
      <c r="F116" s="126">
        <v>0.74509999999999998</v>
      </c>
      <c r="G116" s="129">
        <v>220</v>
      </c>
      <c r="H116" s="127">
        <f t="shared" si="42"/>
        <v>36.86</v>
      </c>
    </row>
    <row r="117" spans="2:13" s="16" customFormat="1">
      <c r="C117" s="32" t="s">
        <v>209</v>
      </c>
      <c r="D117" s="33" t="s">
        <v>210</v>
      </c>
      <c r="E117" s="130">
        <v>16198.43</v>
      </c>
      <c r="F117" s="126">
        <v>0.74509999999999998</v>
      </c>
      <c r="G117" s="129">
        <v>220</v>
      </c>
      <c r="H117" s="127">
        <f t="shared" ref="H117" si="43">ROUND(E117/(1+F117)/G117,2)</f>
        <v>42.19</v>
      </c>
      <c r="M117" s="80"/>
    </row>
    <row r="118" spans="2:13" s="16" customFormat="1">
      <c r="C118" s="32" t="s">
        <v>211</v>
      </c>
      <c r="D118" s="33" t="s">
        <v>212</v>
      </c>
      <c r="E118" s="130">
        <v>2853.51</v>
      </c>
      <c r="F118" s="126">
        <v>0.74509999999999998</v>
      </c>
      <c r="G118" s="129">
        <v>220</v>
      </c>
      <c r="H118" s="127">
        <f t="shared" ref="H118" si="44">ROUND(E118/(1+F118)/G118,2)</f>
        <v>7.43</v>
      </c>
      <c r="M118" s="80"/>
    </row>
    <row r="119" spans="2:13">
      <c r="C119" s="32" t="s">
        <v>192</v>
      </c>
      <c r="D119" s="33" t="s">
        <v>204</v>
      </c>
      <c r="E119" s="130">
        <v>2722</v>
      </c>
      <c r="F119" s="126">
        <v>0.74509999999999998</v>
      </c>
      <c r="G119" s="129">
        <v>220</v>
      </c>
      <c r="H119" s="127">
        <f t="shared" si="42"/>
        <v>7.09</v>
      </c>
    </row>
    <row r="120" spans="2:13" s="16" customFormat="1">
      <c r="C120" s="32" t="s">
        <v>218</v>
      </c>
      <c r="D120" s="33" t="s">
        <v>219</v>
      </c>
      <c r="E120" s="130">
        <v>5130.43</v>
      </c>
      <c r="F120" s="126">
        <v>0.74509999999999998</v>
      </c>
      <c r="G120" s="129">
        <v>220</v>
      </c>
      <c r="H120" s="127">
        <f t="shared" ref="H120" si="45">ROUND(E120/(1+F120)/G120,2)</f>
        <v>13.36</v>
      </c>
      <c r="M120" s="80"/>
    </row>
    <row r="121" spans="2:13">
      <c r="C121" s="32" t="s">
        <v>216</v>
      </c>
      <c r="D121" s="33" t="s">
        <v>206</v>
      </c>
      <c r="E121" s="130">
        <v>2793.05</v>
      </c>
      <c r="F121" s="126">
        <v>0.74509999999999998</v>
      </c>
      <c r="G121" s="129">
        <v>220</v>
      </c>
      <c r="H121" s="127">
        <f t="shared" si="42"/>
        <v>7.28</v>
      </c>
    </row>
    <row r="122" spans="2:13" s="16" customFormat="1">
      <c r="C122" s="32" t="s">
        <v>215</v>
      </c>
      <c r="D122" s="33" t="s">
        <v>214</v>
      </c>
      <c r="E122" s="130">
        <v>3783.77</v>
      </c>
      <c r="F122" s="126">
        <v>0.74509999999999998</v>
      </c>
      <c r="G122" s="129">
        <v>220</v>
      </c>
      <c r="H122" s="127">
        <f t="shared" ref="H122" si="46">ROUND(E122/(1+F122)/G122,2)</f>
        <v>9.86</v>
      </c>
      <c r="M122" s="80"/>
    </row>
    <row r="123" spans="2:13" s="16" customFormat="1">
      <c r="C123" s="32" t="s">
        <v>213</v>
      </c>
      <c r="D123" s="33" t="s">
        <v>217</v>
      </c>
      <c r="E123" s="130">
        <v>1165.6199999999999</v>
      </c>
      <c r="F123" s="126">
        <v>0.74509999999999998</v>
      </c>
      <c r="G123" s="129">
        <v>220</v>
      </c>
      <c r="H123" s="127">
        <f t="shared" ref="H123" si="47">ROUND(E123/(1+F123)/G123,2)</f>
        <v>3.04</v>
      </c>
      <c r="M123" s="80"/>
    </row>
    <row r="125" spans="2:13">
      <c r="B125" s="11" t="s">
        <v>35</v>
      </c>
    </row>
    <row r="126" spans="2:13">
      <c r="B126" s="29" t="s">
        <v>134</v>
      </c>
    </row>
    <row r="127" spans="2:13">
      <c r="B127" s="29" t="s">
        <v>135</v>
      </c>
    </row>
    <row r="128" spans="2:13">
      <c r="B128" s="29" t="s">
        <v>46</v>
      </c>
    </row>
    <row r="129" spans="2:2">
      <c r="B129" s="29" t="s">
        <v>136</v>
      </c>
    </row>
    <row r="130" spans="2:2">
      <c r="B130" s="16" t="s">
        <v>137</v>
      </c>
    </row>
  </sheetData>
  <autoFilter ref="B6:H102" xr:uid="{00000000-0009-0000-0000-000002000000}"/>
  <mergeCells count="16">
    <mergeCell ref="B14:G14"/>
    <mergeCell ref="B17:G17"/>
    <mergeCell ref="B26:G26"/>
    <mergeCell ref="B29:G29"/>
    <mergeCell ref="B76:G76"/>
    <mergeCell ref="B65:G65"/>
    <mergeCell ref="B68:G68"/>
    <mergeCell ref="B50:G50"/>
    <mergeCell ref="B53:G53"/>
    <mergeCell ref="B37:G37"/>
    <mergeCell ref="B40:G40"/>
    <mergeCell ref="B79:G79"/>
    <mergeCell ref="B87:G87"/>
    <mergeCell ref="B90:G90"/>
    <mergeCell ref="B99:G99"/>
    <mergeCell ref="B102:G102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rowBreaks count="1" manualBreakCount="1">
    <brk id="10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52"/>
  <sheetViews>
    <sheetView view="pageBreakPreview" topLeftCell="A28" zoomScaleNormal="100" zoomScaleSheetLayoutView="100" workbookViewId="0"/>
  </sheetViews>
  <sheetFormatPr defaultRowHeight="15"/>
  <cols>
    <col min="1" max="1" width="5.28515625" customWidth="1"/>
    <col min="2" max="2" width="9.140625" customWidth="1"/>
    <col min="3" max="3" width="76.140625" customWidth="1"/>
    <col min="4" max="4" width="16.42578125" bestFit="1" customWidth="1"/>
    <col min="5" max="5" width="18.7109375" customWidth="1"/>
    <col min="6" max="6" width="18.85546875" customWidth="1"/>
    <col min="7" max="7" width="7" customWidth="1"/>
    <col min="9" max="9" width="11.7109375" bestFit="1" customWidth="1"/>
  </cols>
  <sheetData>
    <row r="1" spans="2:10" s="16" customFormat="1"/>
    <row r="2" spans="2:10" s="16" customFormat="1"/>
    <row r="3" spans="2:10" s="16" customFormat="1"/>
    <row r="4" spans="2:10" s="16" customFormat="1"/>
    <row r="5" spans="2:10" s="16" customFormat="1"/>
    <row r="6" spans="2:10" s="16" customFormat="1"/>
    <row r="7" spans="2:10" s="16" customFormat="1" ht="18.75">
      <c r="B7" s="113" t="s">
        <v>147</v>
      </c>
      <c r="C7" s="91"/>
      <c r="D7" s="81" t="s">
        <v>146</v>
      </c>
      <c r="E7" s="81" t="s">
        <v>144</v>
      </c>
      <c r="F7" s="81" t="s">
        <v>145</v>
      </c>
    </row>
    <row r="8" spans="2:10" s="16" customFormat="1">
      <c r="B8" s="153" t="s">
        <v>220</v>
      </c>
      <c r="C8" s="98"/>
      <c r="D8" s="98"/>
      <c r="E8" s="112"/>
      <c r="F8" s="32"/>
    </row>
    <row r="9" spans="2:10" ht="30">
      <c r="B9" s="32" t="s">
        <v>196</v>
      </c>
      <c r="C9" s="163" t="str">
        <f>VLOOKUP(B9,'B2-Composições'!C:D,2,FALSE)</f>
        <v>Gerente de projetos (Engenheiro ou Arquiteto Sênior) - Ref. 40938 Sinapi - mensalista</v>
      </c>
      <c r="D9" s="116">
        <f>SUMIF('B2-Composições'!C:C,'B3-Resumo'!B9,'B2-Composições'!K:K)</f>
        <v>450</v>
      </c>
      <c r="E9" s="93">
        <f>VLOOKUP(B9,'B2-Composições'!C:G,5,FALSE)</f>
        <v>57.82</v>
      </c>
      <c r="F9" s="93">
        <f>D9*E9</f>
        <v>26019</v>
      </c>
      <c r="H9" s="16"/>
    </row>
    <row r="10" spans="2:10" s="16" customFormat="1" ht="30">
      <c r="B10" s="32" t="s">
        <v>231</v>
      </c>
      <c r="C10" s="163" t="str">
        <f>VLOOKUP(B10,'B2-Composições'!C:D,2,FALSE)</f>
        <v>Consultor de projetos estruturais (Engenheiro com especialização ou mestrado em estruturas) - ref. 40938 sinapi - mensalista</v>
      </c>
      <c r="D10" s="116">
        <f>SUMIF('B2-Composições'!C:C,'B3-Resumo'!B10,'B2-Composições'!K:K)</f>
        <v>100</v>
      </c>
      <c r="E10" s="93">
        <f>VLOOKUP(B10,'B2-Composições'!C:G,5,FALSE)</f>
        <v>57.82</v>
      </c>
      <c r="F10" s="93">
        <f>D10*E10</f>
        <v>5782</v>
      </c>
    </row>
    <row r="11" spans="2:10">
      <c r="B11" s="32" t="s">
        <v>191</v>
      </c>
      <c r="C11" s="163" t="str">
        <f>VLOOKUP(B11,'B2-Composições'!C:D,2,FALSE)</f>
        <v>Arquiteto Sênior - Ref. 40817 Sinapi -  mensalista</v>
      </c>
      <c r="D11" s="116">
        <f>SUMIF('B2-Composições'!C:C,'B3-Resumo'!B11,'B2-Composições'!K:K)</f>
        <v>500</v>
      </c>
      <c r="E11" s="93">
        <f>VLOOKUP(B11,'B2-Composições'!C:G,5,FALSE)</f>
        <v>51.02</v>
      </c>
      <c r="F11" s="93">
        <f t="shared" ref="F11:F13" si="0">D11*E11</f>
        <v>25510</v>
      </c>
      <c r="H11" s="16"/>
      <c r="I11" s="16"/>
      <c r="J11" s="16"/>
    </row>
    <row r="12" spans="2:10" s="16" customFormat="1">
      <c r="B12" s="32" t="s">
        <v>195</v>
      </c>
      <c r="C12" s="163" t="str">
        <f>VLOOKUP(B12,'B2-Composições'!C:D,2,FALSE)</f>
        <v>Engenheiro Pleno (Civil) Ref. 40937 Sinapi - mensalista</v>
      </c>
      <c r="D12" s="116">
        <f>SUMIF('B2-Composições'!C:C,'B3-Resumo'!B12,'B2-Composições'!K:K)</f>
        <v>900</v>
      </c>
      <c r="E12" s="93">
        <f>VLOOKUP(B12,'B2-Composições'!C:G,5,FALSE)</f>
        <v>42.19</v>
      </c>
      <c r="F12" s="93">
        <f t="shared" si="0"/>
        <v>37971</v>
      </c>
    </row>
    <row r="13" spans="2:10" s="16" customFormat="1">
      <c r="B13" s="32" t="s">
        <v>194</v>
      </c>
      <c r="C13" s="163" t="str">
        <f>VLOOKUP(B13,'B2-Composições'!C:D,2,FALSE)</f>
        <v>Engenheiro Pleno (Elétrica) Ref. 40939 Sinapi - mensalista</v>
      </c>
      <c r="D13" s="116">
        <f>SUMIF('B2-Composições'!C:C,'B3-Resumo'!B13,'B2-Composições'!K:K)</f>
        <v>150</v>
      </c>
      <c r="E13" s="93">
        <f>VLOOKUP(B13,'B2-Composições'!C:G,5,FALSE)</f>
        <v>36.86</v>
      </c>
      <c r="F13" s="93">
        <f t="shared" si="0"/>
        <v>5529</v>
      </c>
    </row>
    <row r="14" spans="2:10" s="16" customFormat="1">
      <c r="B14" s="32" t="s">
        <v>193</v>
      </c>
      <c r="C14" s="163" t="str">
        <f>VLOOKUP(B14,'B2-Composições'!C:D,2,FALSE)</f>
        <v>Engenheiro Pleno (Mecânica) - Ref. 40939 Sinapi - mensalista</v>
      </c>
      <c r="D14" s="116">
        <f>SUMIF('B2-Composições'!C:C,'B3-Resumo'!B14,'B2-Composições'!K:K)</f>
        <v>150</v>
      </c>
      <c r="E14" s="93">
        <f>VLOOKUP(B14,'B2-Composições'!C:G,5,FALSE)</f>
        <v>36.86</v>
      </c>
      <c r="F14" s="93">
        <f t="shared" ref="F14:F21" si="1">D14*E14</f>
        <v>5529</v>
      </c>
    </row>
    <row r="15" spans="2:10" s="16" customFormat="1">
      <c r="B15" s="32" t="s">
        <v>209</v>
      </c>
      <c r="C15" s="163" t="str">
        <f>VLOOKUP(B15,'B2-Composições'!C:D,2,FALSE)</f>
        <v>Engenheiro Ambiental - Ref. 40937 Sinapi - mensalista</v>
      </c>
      <c r="D15" s="116">
        <f>SUMIF('B2-Composições'!C:C,'B3-Resumo'!B15,'B2-Composições'!K:K)</f>
        <v>100</v>
      </c>
      <c r="E15" s="93">
        <f>VLOOKUP(B15,'B2-Composições'!C:G,5,FALSE)</f>
        <v>42.19</v>
      </c>
      <c r="F15" s="93">
        <f t="shared" ref="F15:F19" si="2">D15*E15</f>
        <v>4219</v>
      </c>
    </row>
    <row r="16" spans="2:10" s="16" customFormat="1">
      <c r="B16" s="32" t="s">
        <v>211</v>
      </c>
      <c r="C16" s="163" t="str">
        <f>VLOOKUP(B16,'B2-Composições'!C:D,2,FALSE)</f>
        <v>Topógrafo - Ref 40820 Sinapi - mensalista</v>
      </c>
      <c r="D16" s="116">
        <f>SUMIF('B2-Composições'!C:C,'B3-Resumo'!B16,'B2-Composições'!K:K)</f>
        <v>100</v>
      </c>
      <c r="E16" s="93">
        <f>VLOOKUP(B16,'B2-Composições'!C:G,5,FALSE)</f>
        <v>7.43</v>
      </c>
      <c r="F16" s="93">
        <f t="shared" si="2"/>
        <v>743</v>
      </c>
    </row>
    <row r="17" spans="2:6" s="16" customFormat="1">
      <c r="B17" s="32" t="s">
        <v>192</v>
      </c>
      <c r="C17" s="163" t="str">
        <f>VLOOKUP(B17,'B2-Composições'!C:D,2,FALSE)</f>
        <v>Desenhista/Cadista - Ref. 40807 - mensalista</v>
      </c>
      <c r="D17" s="116">
        <f>SUMIF('B2-Composições'!C:C,'B3-Resumo'!B17,'B2-Composições'!K:K)</f>
        <v>1000</v>
      </c>
      <c r="E17" s="93">
        <f>VLOOKUP(B17,'B2-Composições'!C:G,5,FALSE)</f>
        <v>7.09</v>
      </c>
      <c r="F17" s="93">
        <f t="shared" si="2"/>
        <v>7090</v>
      </c>
    </row>
    <row r="18" spans="2:6" s="16" customFormat="1">
      <c r="B18" s="32" t="s">
        <v>218</v>
      </c>
      <c r="C18" s="163" t="str">
        <f>VLOOKUP(B18,'B2-Composições'!C:D,2,FALSE)</f>
        <v>Técnico em sondagem - Ref 41092 - mensalista</v>
      </c>
      <c r="D18" s="116">
        <f>SUMIF('B2-Composições'!C:C,'B3-Resumo'!B18,'B2-Composições'!K:K)</f>
        <v>100</v>
      </c>
      <c r="E18" s="93">
        <f>VLOOKUP(B18,'B2-Composições'!C:G,5,FALSE)</f>
        <v>13.36</v>
      </c>
      <c r="F18" s="93">
        <f t="shared" si="2"/>
        <v>1336</v>
      </c>
    </row>
    <row r="19" spans="2:6" s="16" customFormat="1">
      <c r="B19" s="32" t="s">
        <v>216</v>
      </c>
      <c r="C19" s="163" t="str">
        <f>VLOOKUP(B19,'B2-Composições'!C:D,2,FALSE)</f>
        <v>Desenhista auxiliar - Ref. 40808 - mensalista</v>
      </c>
      <c r="D19" s="116">
        <f>SUMIF('B2-Composições'!C:C,'B3-Resumo'!B19,'B2-Composições'!K:K)</f>
        <v>1600</v>
      </c>
      <c r="E19" s="93">
        <f>VLOOKUP(B19,'B2-Composições'!C:G,5,FALSE)</f>
        <v>7.28</v>
      </c>
      <c r="F19" s="93">
        <f t="shared" si="2"/>
        <v>11648</v>
      </c>
    </row>
    <row r="20" spans="2:6" s="16" customFormat="1">
      <c r="B20" s="32" t="s">
        <v>215</v>
      </c>
      <c r="C20" s="163" t="str">
        <f>VLOOKUP(B20,'B2-Composições'!C:D,2,FALSE)</f>
        <v>Auxiliar técnico de engenharia - Ref. 40931 - mensalista</v>
      </c>
      <c r="D20" s="116">
        <f>SUMIF('B2-Composições'!C:C,'B3-Resumo'!B20,'B2-Composições'!K:K)</f>
        <v>1400</v>
      </c>
      <c r="E20" s="93">
        <f>VLOOKUP(B20,'B2-Composições'!C:G,5,FALSE)</f>
        <v>9.86</v>
      </c>
      <c r="F20" s="93">
        <f t="shared" si="1"/>
        <v>13804</v>
      </c>
    </row>
    <row r="21" spans="2:6" s="16" customFormat="1">
      <c r="B21" s="32" t="s">
        <v>213</v>
      </c>
      <c r="C21" s="163" t="str">
        <f>VLOOKUP(B21,'B2-Composições'!C:D,2,FALSE)</f>
        <v>Auxiliar de topógrafo - Ref. 41093 - mensalista</v>
      </c>
      <c r="D21" s="116">
        <f>SUMIF('B2-Composições'!C:C,'B3-Resumo'!B21,'B2-Composições'!K:K)</f>
        <v>200</v>
      </c>
      <c r="E21" s="93">
        <f>VLOOKUP(B21,'B2-Composições'!C:G,5,FALSE)</f>
        <v>3.04</v>
      </c>
      <c r="F21" s="93">
        <f t="shared" si="1"/>
        <v>608</v>
      </c>
    </row>
    <row r="22" spans="2:6" ht="18.75">
      <c r="B22" s="171" t="s">
        <v>155</v>
      </c>
      <c r="C22" s="172"/>
      <c r="D22" s="172"/>
      <c r="E22" s="173"/>
      <c r="F22" s="97">
        <f>SUM(F9:F21)</f>
        <v>145788</v>
      </c>
    </row>
    <row r="23" spans="2:6" s="16" customFormat="1">
      <c r="B23" s="91" t="s">
        <v>153</v>
      </c>
      <c r="C23" s="98"/>
      <c r="D23" s="98"/>
      <c r="E23" s="112"/>
      <c r="F23" s="32"/>
    </row>
    <row r="24" spans="2:6" s="16" customFormat="1">
      <c r="B24" s="91" t="s">
        <v>154</v>
      </c>
      <c r="C24" s="91" t="s">
        <v>167</v>
      </c>
      <c r="D24" s="98"/>
      <c r="E24" s="99"/>
      <c r="F24" s="100"/>
    </row>
    <row r="25" spans="2:6" s="16" customFormat="1" ht="18.75">
      <c r="B25" s="171" t="s">
        <v>156</v>
      </c>
      <c r="C25" s="172"/>
      <c r="D25" s="172"/>
      <c r="E25" s="173" t="s">
        <v>156</v>
      </c>
      <c r="F25" s="97">
        <f>F22*'B4b-Det. K1'!$D$40</f>
        <v>107168.75880000001</v>
      </c>
    </row>
    <row r="26" spans="2:6" s="16" customFormat="1">
      <c r="D26" s="96"/>
      <c r="E26" s="67"/>
      <c r="F26" s="94"/>
    </row>
    <row r="27" spans="2:6" s="16" customFormat="1" ht="18.75">
      <c r="B27" s="91"/>
      <c r="C27" s="98"/>
      <c r="D27" s="107"/>
      <c r="E27" s="104" t="s">
        <v>169</v>
      </c>
      <c r="F27" s="105">
        <f>F25+F22</f>
        <v>252956.75880000001</v>
      </c>
    </row>
    <row r="29" spans="2:6" s="16" customFormat="1" ht="18.75">
      <c r="B29" s="111" t="s">
        <v>148</v>
      </c>
      <c r="C29" s="98"/>
      <c r="D29" s="81" t="s">
        <v>146</v>
      </c>
      <c r="E29" s="81" t="s">
        <v>144</v>
      </c>
      <c r="F29" s="81" t="s">
        <v>145</v>
      </c>
    </row>
    <row r="30" spans="2:6" s="16" customFormat="1">
      <c r="B30" s="32" t="s">
        <v>128</v>
      </c>
      <c r="C30" s="95" t="str">
        <f>VLOOKUP(B30,'B2-Composições'!C:D,2,FALSE)</f>
        <v>Encargos complementares (alimentação, transporte, exames, seguro, epi)</v>
      </c>
      <c r="D30" s="116">
        <f>SUMIF('B2-Composições'!C:C,'B3-Resumo'!B30,'B2-Composições'!K:K)</f>
        <v>6750</v>
      </c>
      <c r="E30" s="93">
        <f>VLOOKUP(B30,'B2-Composições'!C:G,5,FALSE)</f>
        <v>2.34</v>
      </c>
      <c r="F30" s="93">
        <f>D30*E30</f>
        <v>15794.999999999998</v>
      </c>
    </row>
    <row r="31" spans="2:6" ht="18.75">
      <c r="B31" s="91"/>
      <c r="C31" s="98"/>
      <c r="D31" s="98"/>
      <c r="E31" s="104" t="s">
        <v>149</v>
      </c>
      <c r="F31" s="97">
        <f>SUM(F30:F30)</f>
        <v>15794.999999999998</v>
      </c>
    </row>
    <row r="32" spans="2:6" s="16" customFormat="1" ht="18.75">
      <c r="B32" s="101"/>
      <c r="C32" s="102"/>
      <c r="D32" s="102"/>
      <c r="E32" s="103" t="s">
        <v>158</v>
      </c>
      <c r="F32" s="97">
        <f>+F31+F27</f>
        <v>268751.75880000001</v>
      </c>
    </row>
    <row r="34" spans="2:9" ht="18.75">
      <c r="B34" s="111" t="s">
        <v>150</v>
      </c>
      <c r="C34" s="98"/>
      <c r="D34" s="98"/>
      <c r="E34" s="98"/>
      <c r="F34" s="112"/>
    </row>
    <row r="35" spans="2:9" s="16" customFormat="1" ht="18.75">
      <c r="B35" s="111"/>
      <c r="C35" s="98"/>
      <c r="D35" s="115">
        <f>FatorK2</f>
        <v>9.9999999999999992E-2</v>
      </c>
      <c r="E35" s="98" t="s">
        <v>159</v>
      </c>
      <c r="F35" s="112"/>
    </row>
    <row r="36" spans="2:9" ht="18.75">
      <c r="B36" s="101"/>
      <c r="C36" s="102"/>
      <c r="D36" s="102"/>
      <c r="E36" s="108" t="s">
        <v>152</v>
      </c>
      <c r="F36" s="114">
        <f>D35*$F$22</f>
        <v>14578.8</v>
      </c>
    </row>
    <row r="37" spans="2:9" s="16" customFormat="1" ht="18.75">
      <c r="B37" s="2"/>
      <c r="C37" s="2"/>
      <c r="D37" s="2"/>
      <c r="E37" s="106"/>
      <c r="F37" s="110"/>
    </row>
    <row r="38" spans="2:9" ht="18.75">
      <c r="B38" s="111" t="s">
        <v>151</v>
      </c>
      <c r="C38" s="98"/>
      <c r="D38" s="98"/>
      <c r="E38" s="98"/>
      <c r="F38" s="112"/>
    </row>
    <row r="39" spans="2:9" s="16" customFormat="1" ht="18.75">
      <c r="B39" s="111"/>
      <c r="C39" s="98"/>
      <c r="D39" s="107">
        <f>FatorK3</f>
        <v>0.08</v>
      </c>
      <c r="E39" s="98" t="s">
        <v>161</v>
      </c>
      <c r="F39" s="112"/>
    </row>
    <row r="40" spans="2:9" ht="18.75">
      <c r="B40" s="91"/>
      <c r="C40" s="98"/>
      <c r="D40" s="98"/>
      <c r="E40" s="109" t="s">
        <v>160</v>
      </c>
      <c r="F40" s="105">
        <f>D39*(F27+F31+F36)</f>
        <v>22666.444704000001</v>
      </c>
    </row>
    <row r="41" spans="2:9" ht="18.75">
      <c r="B41" s="17" t="s">
        <v>157</v>
      </c>
    </row>
    <row r="42" spans="2:9">
      <c r="B42" s="32" t="s">
        <v>21</v>
      </c>
      <c r="C42" s="32" t="s">
        <v>162</v>
      </c>
      <c r="D42" s="60">
        <f>1.32/100</f>
        <v>1.32E-2</v>
      </c>
      <c r="E42" s="32" t="s">
        <v>168</v>
      </c>
      <c r="F42" s="92">
        <f ca="1">D42*$F$49</f>
        <v>4610.9137514301374</v>
      </c>
      <c r="I42" s="67"/>
    </row>
    <row r="43" spans="2:9">
      <c r="B43" s="32" t="s">
        <v>22</v>
      </c>
      <c r="C43" s="32" t="s">
        <v>163</v>
      </c>
      <c r="D43" s="60">
        <f>6.08/100</f>
        <v>6.08E-2</v>
      </c>
      <c r="E43" s="32" t="s">
        <v>168</v>
      </c>
      <c r="F43" s="92">
        <f ca="1">D43*$F$49</f>
        <v>21238.148188405481</v>
      </c>
      <c r="H43" s="16"/>
      <c r="I43" s="67"/>
    </row>
    <row r="44" spans="2:9">
      <c r="B44" s="32" t="s">
        <v>45</v>
      </c>
      <c r="C44" s="32" t="s">
        <v>164</v>
      </c>
      <c r="D44" s="60">
        <f>5/100</f>
        <v>0.05</v>
      </c>
      <c r="E44" s="32" t="s">
        <v>168</v>
      </c>
      <c r="F44" s="92">
        <f ca="1">D44*$F$49</f>
        <v>17465.582391780827</v>
      </c>
      <c r="H44" s="16"/>
      <c r="I44" s="67"/>
    </row>
    <row r="46" spans="2:9" ht="18.75">
      <c r="B46" s="91"/>
      <c r="C46" s="98"/>
      <c r="D46" s="98"/>
      <c r="E46" s="104" t="s">
        <v>166</v>
      </c>
      <c r="F46" s="97">
        <f ca="1">SUM(F42:F44)</f>
        <v>43314.644331616444</v>
      </c>
      <c r="I46" s="96"/>
    </row>
    <row r="49" spans="2:6" ht="18.75">
      <c r="B49" s="91"/>
      <c r="C49" s="98"/>
      <c r="D49" s="98"/>
      <c r="E49" s="104" t="s">
        <v>165</v>
      </c>
      <c r="F49" s="97">
        <f ca="1">F27+F31+F36+F40+F46</f>
        <v>349311.64783561649</v>
      </c>
    </row>
    <row r="52" spans="2:6">
      <c r="F52" s="140"/>
    </row>
  </sheetData>
  <mergeCells count="2">
    <mergeCell ref="B22:E22"/>
    <mergeCell ref="B25:E25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>
    <tabColor theme="3" tint="0.79998168889431442"/>
    <pageSetUpPr fitToPage="1"/>
  </sheetPr>
  <dimension ref="B1:D29"/>
  <sheetViews>
    <sheetView view="pageBreakPreview" zoomScaleNormal="90" zoomScaleSheetLayoutView="100" zoomScalePageLayoutView="70" workbookViewId="0"/>
  </sheetViews>
  <sheetFormatPr defaultRowHeight="14.25"/>
  <cols>
    <col min="1" max="1" width="3.5703125" style="13" customWidth="1"/>
    <col min="2" max="2" width="49.28515625" style="13" bestFit="1" customWidth="1"/>
    <col min="3" max="3" width="19.42578125" style="13" customWidth="1"/>
    <col min="4" max="4" width="3.5703125" style="13" customWidth="1"/>
    <col min="5" max="16384" width="9.140625" style="13"/>
  </cols>
  <sheetData>
    <row r="1" spans="2:4" customFormat="1" ht="15"/>
    <row r="2" spans="2:4" customFormat="1" ht="15"/>
    <row r="3" spans="2:4" customFormat="1" ht="15"/>
    <row r="4" spans="2:4">
      <c r="B4" s="15"/>
    </row>
    <row r="5" spans="2:4" ht="15">
      <c r="B5" s="68" t="s">
        <v>1</v>
      </c>
      <c r="C5" s="69" t="s">
        <v>139</v>
      </c>
      <c r="D5" s="14"/>
    </row>
    <row r="6" spans="2:4" ht="15">
      <c r="B6" s="83"/>
      <c r="C6" s="84"/>
      <c r="D6" s="14"/>
    </row>
    <row r="7" spans="2:4" ht="15">
      <c r="B7" s="70" t="s">
        <v>120</v>
      </c>
      <c r="C7" s="71">
        <f>'B4b-Det. K1'!$D$40</f>
        <v>0.73510000000000009</v>
      </c>
      <c r="D7" s="14"/>
    </row>
    <row r="8" spans="2:4" ht="18">
      <c r="B8" s="72" t="s">
        <v>121</v>
      </c>
      <c r="C8" s="73">
        <f>SUM(C4:C7)</f>
        <v>0.73510000000000009</v>
      </c>
      <c r="D8" s="14"/>
    </row>
    <row r="9" spans="2:4" customFormat="1" ht="15">
      <c r="B9" s="32"/>
      <c r="C9" s="32"/>
    </row>
    <row r="10" spans="2:4" ht="15">
      <c r="B10" s="70" t="s">
        <v>181</v>
      </c>
      <c r="C10" s="71">
        <f>'B4c-Det. K2 e K3'!$B$15</f>
        <v>9.9999999999999992E-2</v>
      </c>
      <c r="D10" s="14"/>
    </row>
    <row r="11" spans="2:4" ht="18">
      <c r="B11" s="72" t="s">
        <v>122</v>
      </c>
      <c r="C11" s="73">
        <f>SUM(C10:C10)</f>
        <v>9.9999999999999992E-2</v>
      </c>
      <c r="D11" s="14"/>
    </row>
    <row r="12" spans="2:4" customFormat="1" ht="15">
      <c r="B12" s="32"/>
      <c r="C12" s="32"/>
    </row>
    <row r="13" spans="2:4" ht="29.25">
      <c r="B13" s="117" t="s">
        <v>184</v>
      </c>
      <c r="C13" s="71">
        <f>'B4c-Det. K2 e K3'!$B$20</f>
        <v>0.08</v>
      </c>
      <c r="D13" s="14"/>
    </row>
    <row r="14" spans="2:4" ht="18">
      <c r="B14" s="72" t="s">
        <v>123</v>
      </c>
      <c r="C14" s="73">
        <f>SUM(C13:C13)</f>
        <v>0.08</v>
      </c>
      <c r="D14" s="14"/>
    </row>
    <row r="15" spans="2:4" customFormat="1" ht="15">
      <c r="B15" s="32"/>
      <c r="C15" s="32"/>
    </row>
    <row r="16" spans="2:4" ht="15">
      <c r="B16" s="70" t="s">
        <v>107</v>
      </c>
      <c r="C16" s="71">
        <f>1.65%*0.8</f>
        <v>1.3200000000000002E-2</v>
      </c>
      <c r="D16" s="14"/>
    </row>
    <row r="17" spans="2:4" ht="15">
      <c r="B17" s="70" t="s">
        <v>108</v>
      </c>
      <c r="C17" s="71">
        <f>7.6%*0.8</f>
        <v>6.08E-2</v>
      </c>
      <c r="D17" s="14"/>
    </row>
    <row r="18" spans="2:4" ht="15">
      <c r="B18" s="70" t="s">
        <v>11</v>
      </c>
      <c r="C18" s="71">
        <v>0.05</v>
      </c>
      <c r="D18" s="14"/>
    </row>
    <row r="19" spans="2:4" ht="15">
      <c r="B19" s="74" t="s">
        <v>12</v>
      </c>
      <c r="C19" s="87">
        <f>1-SUM(C16:C18)</f>
        <v>0.876</v>
      </c>
      <c r="D19" s="14"/>
    </row>
    <row r="20" spans="2:4" ht="15">
      <c r="B20" s="85"/>
      <c r="C20" s="86"/>
      <c r="D20" s="14"/>
    </row>
    <row r="21" spans="2:4" ht="18">
      <c r="B21" s="72" t="s">
        <v>124</v>
      </c>
      <c r="C21" s="73">
        <f>1/C19-1</f>
        <v>0.14155251141552516</v>
      </c>
      <c r="D21" s="14"/>
    </row>
    <row r="23" spans="2:4" ht="15">
      <c r="B23" s="75" t="s">
        <v>125</v>
      </c>
      <c r="C23" s="75">
        <f>(1+C8)*(1+C11)*(1+C14)*(1+C21)</f>
        <v>2.3530808219178088</v>
      </c>
    </row>
    <row r="25" spans="2:4">
      <c r="B25" s="13" t="s">
        <v>140</v>
      </c>
    </row>
    <row r="26" spans="2:4">
      <c r="B26" s="88" t="s">
        <v>141</v>
      </c>
    </row>
    <row r="27" spans="2:4">
      <c r="B27" s="88" t="s">
        <v>142</v>
      </c>
    </row>
    <row r="29" spans="2:4">
      <c r="B29" s="88" t="s">
        <v>143</v>
      </c>
    </row>
  </sheetData>
  <printOptions horizontalCentered="1"/>
  <pageMargins left="0.98402777777777795" right="0.78749999999999998" top="0.98402777777777795" bottom="0.78749999999999998" header="0.51180555555555496" footer="0.51180555555555496"/>
  <pageSetup paperSize="9" firstPageNumber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9">
    <tabColor theme="3" tint="0.79998168889431442"/>
    <pageSetUpPr fitToPage="1"/>
  </sheetPr>
  <dimension ref="B1:E42"/>
  <sheetViews>
    <sheetView view="pageBreakPreview" zoomScaleNormal="70" zoomScaleSheetLayoutView="100" workbookViewId="0"/>
  </sheetViews>
  <sheetFormatPr defaultRowHeight="15"/>
  <cols>
    <col min="1" max="1" width="4.7109375" style="2" customWidth="1"/>
    <col min="2" max="2" width="18.140625" style="53" customWidth="1"/>
    <col min="3" max="3" width="46.28515625" style="2" customWidth="1"/>
    <col min="4" max="4" width="14.85546875" style="2" customWidth="1"/>
    <col min="5" max="5" width="5.28515625" style="2" customWidth="1"/>
    <col min="6" max="6" width="14.85546875" style="2" customWidth="1"/>
    <col min="7" max="16384" width="9.140625" style="2"/>
  </cols>
  <sheetData>
    <row r="1" spans="2:5" s="8" customFormat="1"/>
    <row r="2" spans="2:5" s="8" customFormat="1" ht="23.25">
      <c r="B2" s="56" t="s">
        <v>234</v>
      </c>
    </row>
    <row r="3" spans="2:5" s="8" customFormat="1"/>
    <row r="4" spans="2:5" s="8" customFormat="1">
      <c r="B4" s="55" t="s">
        <v>225</v>
      </c>
    </row>
    <row r="6" spans="2:5">
      <c r="B6" s="174" t="s">
        <v>87</v>
      </c>
      <c r="C6" s="174"/>
      <c r="D6" s="174"/>
    </row>
    <row r="7" spans="2:5">
      <c r="B7" s="44" t="s">
        <v>20</v>
      </c>
      <c r="C7" s="32" t="s">
        <v>57</v>
      </c>
      <c r="D7" s="60">
        <v>0.2</v>
      </c>
      <c r="E7" s="58"/>
    </row>
    <row r="8" spans="2:5">
      <c r="B8" s="44" t="s">
        <v>44</v>
      </c>
      <c r="C8" s="32" t="s">
        <v>58</v>
      </c>
      <c r="D8" s="60">
        <v>1.4999999999999999E-2</v>
      </c>
      <c r="E8" s="58"/>
    </row>
    <row r="9" spans="2:5">
      <c r="B9" s="44" t="s">
        <v>50</v>
      </c>
      <c r="C9" s="32" t="s">
        <v>59</v>
      </c>
      <c r="D9" s="60">
        <v>0.01</v>
      </c>
      <c r="E9" s="58"/>
    </row>
    <row r="10" spans="2:5">
      <c r="B10" s="44" t="s">
        <v>17</v>
      </c>
      <c r="C10" s="35" t="s">
        <v>60</v>
      </c>
      <c r="D10" s="61">
        <v>2E-3</v>
      </c>
      <c r="E10" s="58"/>
    </row>
    <row r="11" spans="2:5">
      <c r="B11" s="44" t="s">
        <v>51</v>
      </c>
      <c r="C11" s="35" t="s">
        <v>61</v>
      </c>
      <c r="D11" s="61">
        <v>6.0000000000000001E-3</v>
      </c>
      <c r="E11" s="58"/>
    </row>
    <row r="12" spans="2:5">
      <c r="B12" s="44" t="s">
        <v>52</v>
      </c>
      <c r="C12" s="35" t="s">
        <v>62</v>
      </c>
      <c r="D12" s="61">
        <v>2.5000000000000001E-2</v>
      </c>
      <c r="E12" s="58"/>
    </row>
    <row r="13" spans="2:5">
      <c r="B13" s="44" t="s">
        <v>53</v>
      </c>
      <c r="C13" s="35" t="s">
        <v>63</v>
      </c>
      <c r="D13" s="61">
        <v>0.03</v>
      </c>
      <c r="E13" s="58"/>
    </row>
    <row r="14" spans="2:5">
      <c r="B14" s="44" t="s">
        <v>54</v>
      </c>
      <c r="C14" s="35" t="s">
        <v>64</v>
      </c>
      <c r="D14" s="61">
        <v>0.08</v>
      </c>
      <c r="E14" s="58"/>
    </row>
    <row r="15" spans="2:5">
      <c r="B15" s="44" t="s">
        <v>55</v>
      </c>
      <c r="C15" s="35" t="s">
        <v>208</v>
      </c>
      <c r="D15" s="61">
        <v>0</v>
      </c>
      <c r="E15" s="58"/>
    </row>
    <row r="16" spans="2:5">
      <c r="B16" s="54" t="s">
        <v>56</v>
      </c>
      <c r="C16" s="51" t="s">
        <v>65</v>
      </c>
      <c r="D16" s="62">
        <f>SUM(D7:D15)</f>
        <v>0.36800000000000005</v>
      </c>
      <c r="E16" s="59"/>
    </row>
    <row r="17" spans="2:4">
      <c r="B17" s="174" t="s">
        <v>98</v>
      </c>
      <c r="C17" s="174"/>
      <c r="D17" s="174"/>
    </row>
    <row r="18" spans="2:4">
      <c r="B18" s="37" t="s">
        <v>66</v>
      </c>
      <c r="C18" s="35" t="s">
        <v>76</v>
      </c>
      <c r="D18" s="32"/>
    </row>
    <row r="19" spans="2:4">
      <c r="B19" s="37" t="s">
        <v>67</v>
      </c>
      <c r="C19" s="35" t="s">
        <v>77</v>
      </c>
      <c r="D19" s="32"/>
    </row>
    <row r="20" spans="2:4">
      <c r="B20" s="37" t="s">
        <v>68</v>
      </c>
      <c r="C20" s="35" t="s">
        <v>78</v>
      </c>
      <c r="D20" s="60">
        <v>6.9999999999999993E-3</v>
      </c>
    </row>
    <row r="21" spans="2:4">
      <c r="B21" s="37" t="s">
        <v>69</v>
      </c>
      <c r="C21" s="35" t="s">
        <v>79</v>
      </c>
      <c r="D21" s="60">
        <v>8.3299999999999999E-2</v>
      </c>
    </row>
    <row r="22" spans="2:4">
      <c r="B22" s="37" t="s">
        <v>70</v>
      </c>
      <c r="C22" s="35" t="s">
        <v>80</v>
      </c>
      <c r="D22" s="60">
        <v>5.0000000000000001E-4</v>
      </c>
    </row>
    <row r="23" spans="2:4">
      <c r="B23" s="37" t="s">
        <v>71</v>
      </c>
      <c r="C23" s="35" t="s">
        <v>81</v>
      </c>
      <c r="D23" s="61">
        <v>5.6000000000000008E-3</v>
      </c>
    </row>
    <row r="24" spans="2:4">
      <c r="B24" s="37" t="s">
        <v>72</v>
      </c>
      <c r="C24" s="35" t="s">
        <v>82</v>
      </c>
      <c r="D24" s="60"/>
    </row>
    <row r="25" spans="2:4">
      <c r="B25" s="37" t="s">
        <v>73</v>
      </c>
      <c r="C25" s="35" t="s">
        <v>83</v>
      </c>
      <c r="D25" s="61">
        <v>8.0000000000000004E-4</v>
      </c>
    </row>
    <row r="26" spans="2:4">
      <c r="B26" s="37" t="s">
        <v>74</v>
      </c>
      <c r="C26" s="35" t="s">
        <v>84</v>
      </c>
      <c r="D26" s="61">
        <v>8.4600000000000009E-2</v>
      </c>
    </row>
    <row r="27" spans="2:4">
      <c r="B27" s="37" t="s">
        <v>75</v>
      </c>
      <c r="C27" s="35" t="s">
        <v>85</v>
      </c>
      <c r="D27" s="61">
        <v>2.0000000000000001E-4</v>
      </c>
    </row>
    <row r="28" spans="2:4">
      <c r="B28" s="54" t="s">
        <v>86</v>
      </c>
      <c r="C28" s="51" t="s">
        <v>65</v>
      </c>
      <c r="D28" s="62">
        <f>SUM(D18:D27)</f>
        <v>0.182</v>
      </c>
    </row>
    <row r="29" spans="2:4">
      <c r="B29" s="174" t="s">
        <v>99</v>
      </c>
      <c r="C29" s="174"/>
      <c r="D29" s="174"/>
    </row>
    <row r="30" spans="2:4">
      <c r="B30" s="37" t="s">
        <v>19</v>
      </c>
      <c r="C30" s="35" t="s">
        <v>92</v>
      </c>
      <c r="D30" s="61">
        <v>4.9200000000000001E-2</v>
      </c>
    </row>
    <row r="31" spans="2:4">
      <c r="B31" s="37" t="s">
        <v>88</v>
      </c>
      <c r="C31" s="35" t="s">
        <v>93</v>
      </c>
      <c r="D31" s="61">
        <v>1.1999999999999999E-3</v>
      </c>
    </row>
    <row r="32" spans="2:4">
      <c r="B32" s="37" t="s">
        <v>89</v>
      </c>
      <c r="C32" s="35" t="s">
        <v>94</v>
      </c>
      <c r="D32" s="61">
        <v>2.2099999999999998E-2</v>
      </c>
    </row>
    <row r="33" spans="2:4">
      <c r="B33" s="37" t="s">
        <v>90</v>
      </c>
      <c r="C33" s="35" t="s">
        <v>95</v>
      </c>
      <c r="D33" s="61">
        <v>3.5299999999999998E-2</v>
      </c>
    </row>
    <row r="34" spans="2:4">
      <c r="B34" s="37" t="s">
        <v>91</v>
      </c>
      <c r="C34" s="35" t="s">
        <v>96</v>
      </c>
      <c r="D34" s="61">
        <v>4.0999999999999995E-3</v>
      </c>
    </row>
    <row r="35" spans="2:4">
      <c r="B35" s="54" t="s">
        <v>97</v>
      </c>
      <c r="C35" s="51" t="s">
        <v>65</v>
      </c>
      <c r="D35" s="62">
        <f>SUM(D30:D34)</f>
        <v>0.1119</v>
      </c>
    </row>
    <row r="36" spans="2:4">
      <c r="B36" s="174" t="s">
        <v>100</v>
      </c>
      <c r="C36" s="174"/>
      <c r="D36" s="174"/>
    </row>
    <row r="37" spans="2:4">
      <c r="B37" s="37" t="s">
        <v>101</v>
      </c>
      <c r="C37" s="35" t="s">
        <v>104</v>
      </c>
      <c r="D37" s="61">
        <v>6.88E-2</v>
      </c>
    </row>
    <row r="38" spans="2:4" ht="45">
      <c r="B38" s="37" t="s">
        <v>102</v>
      </c>
      <c r="C38" s="52" t="s">
        <v>105</v>
      </c>
      <c r="D38" s="60">
        <v>4.4000000000000003E-3</v>
      </c>
    </row>
    <row r="39" spans="2:4">
      <c r="B39" s="54" t="s">
        <v>103</v>
      </c>
      <c r="C39" s="51" t="s">
        <v>65</v>
      </c>
      <c r="D39" s="62">
        <f>SUM(D37:D38)</f>
        <v>7.3200000000000001E-2</v>
      </c>
    </row>
    <row r="40" spans="2:4">
      <c r="B40" s="175" t="s">
        <v>106</v>
      </c>
      <c r="C40" s="175"/>
      <c r="D40" s="63">
        <f>D16+D28+D35+D39</f>
        <v>0.73510000000000009</v>
      </c>
    </row>
    <row r="42" spans="2:4">
      <c r="B42" s="57" t="s">
        <v>226</v>
      </c>
    </row>
  </sheetData>
  <mergeCells count="5">
    <mergeCell ref="B36:D36"/>
    <mergeCell ref="B40:C40"/>
    <mergeCell ref="B6:D6"/>
    <mergeCell ref="B29:D29"/>
    <mergeCell ref="B17:D17"/>
  </mergeCell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20"/>
  <sheetViews>
    <sheetView workbookViewId="0"/>
  </sheetViews>
  <sheetFormatPr defaultRowHeight="15"/>
  <cols>
    <col min="1" max="1" width="70.140625" style="118" bestFit="1" customWidth="1"/>
    <col min="2" max="2" width="8.28515625" style="118" bestFit="1" customWidth="1"/>
    <col min="3" max="16384" width="9.140625" style="118"/>
  </cols>
  <sheetData>
    <row r="1" spans="1:2" ht="23.25">
      <c r="A1" s="56" t="s">
        <v>235</v>
      </c>
    </row>
    <row r="3" spans="1:2">
      <c r="A3" s="176" t="s">
        <v>183</v>
      </c>
      <c r="B3" s="177"/>
    </row>
    <row r="4" spans="1:2">
      <c r="A4" s="119" t="s">
        <v>1</v>
      </c>
      <c r="B4" s="120" t="s">
        <v>170</v>
      </c>
    </row>
    <row r="5" spans="1:2">
      <c r="A5" s="121" t="s">
        <v>171</v>
      </c>
      <c r="B5" s="122">
        <v>0.01</v>
      </c>
    </row>
    <row r="6" spans="1:2">
      <c r="A6" s="121" t="s">
        <v>172</v>
      </c>
      <c r="B6" s="122">
        <v>0.01</v>
      </c>
    </row>
    <row r="7" spans="1:2">
      <c r="A7" s="121" t="s">
        <v>173</v>
      </c>
      <c r="B7" s="122">
        <v>5.0000000000000001E-3</v>
      </c>
    </row>
    <row r="8" spans="1:2">
      <c r="A8" s="121" t="s">
        <v>174</v>
      </c>
      <c r="B8" s="122">
        <v>5.0000000000000001E-3</v>
      </c>
    </row>
    <row r="9" spans="1:2">
      <c r="A9" s="121" t="s">
        <v>175</v>
      </c>
      <c r="B9" s="122">
        <v>0.02</v>
      </c>
    </row>
    <row r="10" spans="1:2">
      <c r="A10" s="121" t="s">
        <v>176</v>
      </c>
      <c r="B10" s="122">
        <v>0.01</v>
      </c>
    </row>
    <row r="11" spans="1:2">
      <c r="A11" s="121" t="s">
        <v>177</v>
      </c>
      <c r="B11" s="122">
        <v>0.01</v>
      </c>
    </row>
    <row r="12" spans="1:2">
      <c r="A12" s="121" t="s">
        <v>178</v>
      </c>
      <c r="B12" s="122">
        <v>0.01</v>
      </c>
    </row>
    <row r="13" spans="1:2">
      <c r="A13" s="121" t="s">
        <v>179</v>
      </c>
      <c r="B13" s="122">
        <v>0.01</v>
      </c>
    </row>
    <row r="14" spans="1:2">
      <c r="A14" s="121" t="s">
        <v>180</v>
      </c>
      <c r="B14" s="122">
        <v>0.01</v>
      </c>
    </row>
    <row r="15" spans="1:2">
      <c r="A15" s="120" t="s">
        <v>33</v>
      </c>
      <c r="B15" s="123">
        <f>SUM(B5:B14)</f>
        <v>9.9999999999999992E-2</v>
      </c>
    </row>
    <row r="17" spans="1:2">
      <c r="A17" s="178" t="s">
        <v>182</v>
      </c>
      <c r="B17" s="178"/>
    </row>
    <row r="18" spans="1:2">
      <c r="A18" s="120" t="s">
        <v>1</v>
      </c>
      <c r="B18" s="120" t="s">
        <v>170</v>
      </c>
    </row>
    <row r="19" spans="1:2">
      <c r="A19" s="121" t="s">
        <v>228</v>
      </c>
      <c r="B19" s="122">
        <v>0.08</v>
      </c>
    </row>
    <row r="20" spans="1:2">
      <c r="A20" s="120" t="s">
        <v>33</v>
      </c>
      <c r="B20" s="123">
        <f>SUM(B19:B19)</f>
        <v>0.08</v>
      </c>
    </row>
  </sheetData>
  <mergeCells count="2">
    <mergeCell ref="A3:B3"/>
    <mergeCell ref="A17:B17"/>
  </mergeCells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E18"/>
  <sheetViews>
    <sheetView view="pageBreakPreview" zoomScaleNormal="85" zoomScaleSheetLayoutView="100" workbookViewId="0"/>
  </sheetViews>
  <sheetFormatPr defaultRowHeight="15"/>
  <cols>
    <col min="1" max="1" width="6.85546875" style="16" customWidth="1"/>
    <col min="2" max="2" width="47" style="16" customWidth="1"/>
    <col min="3" max="3" width="30.42578125" style="16" customWidth="1"/>
    <col min="4" max="4" width="19.42578125" style="16" customWidth="1"/>
    <col min="5" max="5" width="17" style="16" customWidth="1"/>
    <col min="6" max="16384" width="9.140625" style="16"/>
  </cols>
  <sheetData>
    <row r="1" spans="2:5" ht="18.75">
      <c r="B1" s="17"/>
    </row>
    <row r="2" spans="2:5" ht="18.75">
      <c r="B2" s="17"/>
    </row>
    <row r="3" spans="2:5" ht="18.75">
      <c r="B3" s="27" t="s">
        <v>252</v>
      </c>
    </row>
    <row r="4" spans="2:5" ht="18.75">
      <c r="B4" s="17"/>
    </row>
    <row r="5" spans="2:5" ht="16.5" thickBot="1">
      <c r="B5" s="36" t="s">
        <v>47</v>
      </c>
    </row>
    <row r="6" spans="2:5">
      <c r="B6" s="20" t="s">
        <v>26</v>
      </c>
      <c r="C6" s="21" t="s">
        <v>34</v>
      </c>
      <c r="D6" s="21" t="s">
        <v>31</v>
      </c>
      <c r="E6" s="22" t="s">
        <v>32</v>
      </c>
    </row>
    <row r="7" spans="2:5" ht="45" customHeight="1">
      <c r="B7" s="19" t="s">
        <v>27</v>
      </c>
      <c r="C7" s="18" t="s">
        <v>130</v>
      </c>
      <c r="D7" s="28">
        <v>320.57</v>
      </c>
      <c r="E7" s="25">
        <f>D7/220</f>
        <v>1.4571363636363637</v>
      </c>
    </row>
    <row r="8" spans="2:5" ht="45" customHeight="1">
      <c r="B8" s="19" t="s">
        <v>28</v>
      </c>
      <c r="C8" s="18" t="s">
        <v>131</v>
      </c>
      <c r="D8" s="28">
        <v>3.94</v>
      </c>
      <c r="E8" s="25">
        <f t="shared" ref="E8:E10" si="0">D8/220</f>
        <v>1.7909090909090909E-2</v>
      </c>
    </row>
    <row r="9" spans="2:5" ht="45" customHeight="1">
      <c r="B9" s="19" t="s">
        <v>29</v>
      </c>
      <c r="C9" s="18" t="s">
        <v>132</v>
      </c>
      <c r="D9" s="28">
        <v>69.239999999999995</v>
      </c>
      <c r="E9" s="25">
        <f t="shared" si="0"/>
        <v>0.31472727272727269</v>
      </c>
    </row>
    <row r="10" spans="2:5" ht="45" customHeight="1">
      <c r="B10" s="19" t="s">
        <v>30</v>
      </c>
      <c r="C10" s="18" t="s">
        <v>133</v>
      </c>
      <c r="D10" s="28">
        <v>121.5</v>
      </c>
      <c r="E10" s="25">
        <f t="shared" si="0"/>
        <v>0.55227272727272725</v>
      </c>
    </row>
    <row r="11" spans="2:5" ht="15.75" thickBot="1">
      <c r="B11" s="23"/>
      <c r="C11" s="24"/>
      <c r="D11" s="26" t="s">
        <v>33</v>
      </c>
      <c r="E11" s="76">
        <f>ROUND(SUM(E7:E10),2)</f>
        <v>2.34</v>
      </c>
    </row>
    <row r="13" spans="2:5">
      <c r="B13" s="41" t="s">
        <v>43</v>
      </c>
    </row>
    <row r="14" spans="2:5">
      <c r="B14" s="40" t="s">
        <v>48</v>
      </c>
    </row>
    <row r="15" spans="2:5">
      <c r="B15" s="29" t="s">
        <v>129</v>
      </c>
    </row>
    <row r="16" spans="2:5">
      <c r="B16" s="29" t="s">
        <v>36</v>
      </c>
    </row>
    <row r="17" spans="2:2">
      <c r="B17" s="16" t="s">
        <v>37</v>
      </c>
    </row>
    <row r="18" spans="2:2">
      <c r="B18" s="29"/>
    </row>
  </sheetData>
  <pageMargins left="0.511811024" right="0.511811024" top="0.78740157499999996" bottom="0.78740157499999996" header="0.31496062000000002" footer="0.31496062000000002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CAPA</vt:lpstr>
      <vt:lpstr>B1-Sintético</vt:lpstr>
      <vt:lpstr>B2-Composições</vt:lpstr>
      <vt:lpstr>B3-Resumo</vt:lpstr>
      <vt:lpstr>B4a-Fator-K</vt:lpstr>
      <vt:lpstr>B4b-Det. K1</vt:lpstr>
      <vt:lpstr>B4c-Det. K2 e K3</vt:lpstr>
      <vt:lpstr>B4d-EC</vt:lpstr>
      <vt:lpstr>'B1-Sintético'!Area_de_impressao</vt:lpstr>
      <vt:lpstr>'B2-Composições'!Area_de_impressao</vt:lpstr>
      <vt:lpstr>'B3-Resumo'!Area_de_impressao</vt:lpstr>
      <vt:lpstr>'B4a-Fator-K'!Area_de_impressao</vt:lpstr>
      <vt:lpstr>'B4b-Det. K1'!Area_de_impressao</vt:lpstr>
      <vt:lpstr>'B4d-EC'!Area_de_impressao</vt:lpstr>
      <vt:lpstr>CAPA!Area_de_impressao</vt:lpstr>
      <vt:lpstr>FatorK1</vt:lpstr>
      <vt:lpstr>FatorK2</vt:lpstr>
      <vt:lpstr>FatorK3</vt:lpstr>
      <vt:lpstr>FatorK4</vt:lpstr>
      <vt:lpstr>TAB_INSUMOS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de Sa Moreira e Silva</dc:creator>
  <cp:lastModifiedBy>Reinaldo de Sa Moreira e Silva  </cp:lastModifiedBy>
  <cp:lastPrinted>2018-12-05T17:49:19Z</cp:lastPrinted>
  <dcterms:created xsi:type="dcterms:W3CDTF">2015-10-01T18:13:15Z</dcterms:created>
  <dcterms:modified xsi:type="dcterms:W3CDTF">2018-12-18T13:07:14Z</dcterms:modified>
</cp:coreProperties>
</file>